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DBBB" lockStructure="1"/>
  <bookViews>
    <workbookView xWindow="360" yWindow="300" windowWidth="5190" windowHeight="3675" tabRatio="971" activeTab="5"/>
  </bookViews>
  <sheets>
    <sheet name="Disclaimer" sheetId="15" r:id="rId1"/>
    <sheet name="Overview" sheetId="5" r:id="rId2"/>
    <sheet name="TimeLine Requests" sheetId="12" r:id="rId3"/>
    <sheet name="PFs &amp; Maintenance &amp; LDs" sheetId="1" r:id="rId4"/>
    <sheet name="UIOLI &amp; Interruptible Space" sheetId="8" r:id="rId5"/>
    <sheet name="Normal Storage Day" sheetId="6" r:id="rId6"/>
    <sheet name="FSD Withdrawal" sheetId="10" r:id="rId7"/>
    <sheet name="FSD Injection" sheetId="11" r:id="rId8"/>
    <sheet name="FSD Mandatory Withdrawal" sheetId="7" r:id="rId9"/>
    <sheet name="Secondary Trading" sheetId="3" r:id="rId10"/>
    <sheet name="Invoicing" sheetId="4" r:id="rId11"/>
    <sheet name="Default Quantity Settlement" sheetId="14" r:id="rId12"/>
    <sheet name="Working Gas As Collateral" sheetId="16" r:id="rId13"/>
    <sheet name="data for graph" sheetId="13" state="hidden" r:id="rId14"/>
  </sheets>
  <externalReferences>
    <externalReference r:id="rId15"/>
    <externalReference r:id="rId16"/>
    <externalReference r:id="rId17"/>
    <externalReference r:id="rId18"/>
    <externalReference r:id="rId19"/>
  </externalReferences>
  <definedNames>
    <definedName name="Abandonment_cost">'[1]Assumptions Register'!$D$81</definedName>
    <definedName name="anke">'[2]1'!$R$3:$R$21</definedName>
    <definedName name="AP">'[1]Assumptions Register'!$D$111</definedName>
    <definedName name="AR">'[1]Assumptions Register'!$D$110</definedName>
    <definedName name="BuySell" localSheetId="12">#REF!</definedName>
    <definedName name="BuySell">#REF!</definedName>
    <definedName name="Cap_cost">'[1]Assumptions Register'!$D$92</definedName>
    <definedName name="Cap_sold_last_year">'[1]Assumptions Register'!$D$40</definedName>
    <definedName name="Cap_sold_year_1">'[1]Assumptions Register'!$D$39</definedName>
    <definedName name="Cap_sold_year_2" localSheetId="12">'[1]Assumptions Register'!#REF!</definedName>
    <definedName name="Cap_sold_year_2">'[1]Assumptions Register'!#REF!</definedName>
    <definedName name="Carry_forward_onoff">'[1]Assumptions Register'!$D$106</definedName>
    <definedName name="CG">'[1]Assumptions Register'!$D$35</definedName>
    <definedName name="Choose">'[3]Yearly Profile kWh'!$A$5:$A$7</definedName>
    <definedName name="CIT">'[1]Assumptions Register'!$D$97</definedName>
    <definedName name="CMC_Overhead">'[1]Assumptions Register'!$D$71</definedName>
    <definedName name="COD">'[1]Assumptions Register'!$D$31</definedName>
    <definedName name="Compressor" localSheetId="12">#REF!</definedName>
    <definedName name="Compressor">#REF!</definedName>
    <definedName name="days">[1]Calc!$F$10:$AZ$10</definedName>
    <definedName name="Days_Year" localSheetId="12">'[4]SSSA paragraph Credit check'!#REF!</definedName>
    <definedName name="Days_Year">'[4]SSSA paragraph Credit check'!#REF!</definedName>
    <definedName name="DCF">'[1]Assumptions Register'!$D$44</definedName>
    <definedName name="Debt_amount">'[1]Assumptions Register'!$D$14</definedName>
    <definedName name="Debt_inj_year">'[1]Assumptions Register'!$D$13</definedName>
    <definedName name="Debt_interest_rate">'[1]Assumptions Register'!$D$16</definedName>
    <definedName name="Debt_onoff">'[1]Assumptions Register'!$D$12</definedName>
    <definedName name="Debt_tenor">'[1]Assumptions Register'!$D$15</definedName>
    <definedName name="Depr_years">'[1]Assumptions Register'!$D$98</definedName>
    <definedName name="Direction" localSheetId="12">#REF!</definedName>
    <definedName name="Direction">#REF!</definedName>
    <definedName name="Disc_fact">[1]Calc!$F$13:$AZ$13</definedName>
    <definedName name="E_purchase_price">'[1]Assumptions Register'!$D$125</definedName>
    <definedName name="E_sale_onoff">'[1]Assumptions Register'!$D$122</definedName>
    <definedName name="E_sale_perc">'[1]Assumptions Register'!$D$124</definedName>
    <definedName name="E_sale_year">'[1]Assumptions Register'!$D$123</definedName>
    <definedName name="Early_Capex_depr">'[1]Assumptions Register'!$D$103</definedName>
    <definedName name="EBN_share">'[1]Assumptions Register'!$D$38</definedName>
    <definedName name="EBNshare" localSheetId="12">'[4]SSSA paragraph Credit check'!#REF!</definedName>
    <definedName name="EBNshare">'[4]SSSA paragraph Credit check'!#REF!</definedName>
    <definedName name="Electricity_price">'[1]Assumptions Register'!$D$70</definedName>
    <definedName name="Entry_tariff_CG_prod">'[1]Assumptions Register'!$D$74</definedName>
    <definedName name="Ext_Capex">'[1]Assumptions Register'!$D$116</definedName>
    <definedName name="FirstofApril10" localSheetId="12">'[4]SSSA paragraph Credit check'!#REF!</definedName>
    <definedName name="FirstofApril10">'[4]SSSA paragraph Credit check'!#REF!</definedName>
    <definedName name="fx">'[1]Assumptions Register'!$D$45</definedName>
    <definedName name="Gazp_share">'[1]Assumptions Register'!$D$36</definedName>
    <definedName name="GSAinjdays" localSheetId="12">'[4]SSSA paragraph Credit check'!#REF!</definedName>
    <definedName name="GSAinjdays">'[4]SSSA paragraph Credit check'!#REF!</definedName>
    <definedName name="GSAvolume" localSheetId="12">'[4]SSSA paragraph Credit check'!#REF!</definedName>
    <definedName name="GSAvolume">'[4]SSSA paragraph Credit check'!#REF!</definedName>
    <definedName name="HiCal" localSheetId="12">'[4]SSSA paragraph Credit check'!#REF!</definedName>
    <definedName name="HiCal">'[4]SSSA paragraph Credit check'!#REF!</definedName>
    <definedName name="HisHedge" localSheetId="12">'[4]SSSA paragraph Credit check'!#REF!</definedName>
    <definedName name="HisHedge">'[4]SSSA paragraph Credit check'!#REF!</definedName>
    <definedName name="Hours_day" localSheetId="12">'[4]SSSA paragraph Credit check'!#REF!</definedName>
    <definedName name="Hours_day">'[4]SSSA paragraph Credit check'!#REF!</definedName>
    <definedName name="Inflation_factor">[1]Calc!$F$12:$AZ$12</definedName>
    <definedName name="InjFac" localSheetId="12">#REF!</definedName>
    <definedName name="InjFac">#REF!</definedName>
    <definedName name="IntFor" localSheetId="12">#REF!</definedName>
    <definedName name="IntFor">#REF!</definedName>
    <definedName name="IRRopt" localSheetId="12">#REF!</definedName>
    <definedName name="IRRopt">#REF!</definedName>
    <definedName name="land">'[1]Assumptions Register'!$D$57</definedName>
    <definedName name="Last_year_CG_prod">'[1]Assumptions Register'!$P$73</definedName>
    <definedName name="LastYearVol" localSheetId="12">'[4]SSSA paragraph Credit check'!#REF!</definedName>
    <definedName name="LastYearVol">'[4]SSSA paragraph Credit check'!#REF!</definedName>
    <definedName name="LC_start_date">'[1]Assumptions Register'!$F$32</definedName>
    <definedName name="ListDays" localSheetId="12">#REF!</definedName>
    <definedName name="ListDays">#REF!</definedName>
    <definedName name="Million" localSheetId="12">'[4]SSSA paragraph Credit check'!#REF!</definedName>
    <definedName name="Million">'[4]SSSA paragraph Credit check'!#REF!</definedName>
    <definedName name="MJ_KWh" localSheetId="12">'[4]SSSA paragraph Credit check'!#REF!</definedName>
    <definedName name="MJ_KWh">'[4]SSSA paragraph Credit check'!#REF!</definedName>
    <definedName name="Month_year" localSheetId="12">'[4]SSSA paragraph Credit check'!#REF!</definedName>
    <definedName name="Month_year">'[4]SSSA paragraph Credit check'!#REF!</definedName>
    <definedName name="multiplier">'[1]Assumptions Register'!$D$8</definedName>
    <definedName name="Nm3_MWh">'[1]Assumptions Register'!$D$131</definedName>
    <definedName name="NPV">[1]Accounts!$C$2</definedName>
    <definedName name="NPVOpt" localSheetId="12">#REF!</definedName>
    <definedName name="NPVOpt">#REF!</definedName>
    <definedName name="Opex">'[1]Assumptions Register'!$D$61</definedName>
    <definedName name="Opexflag">[1]Calc!$F$62:$AZ$62</definedName>
    <definedName name="Prices" localSheetId="12">'[4]SSSA paragraph Credit check'!#REF!</definedName>
    <definedName name="Prices">'[4]SSSA paragraph Credit check'!#REF!</definedName>
    <definedName name="PrimReqCap" localSheetId="12">#REF!</definedName>
    <definedName name="PrimReqCap">#REF!</definedName>
    <definedName name="_xlnm.Print_Area" localSheetId="13">'data for graph'!#REF!</definedName>
    <definedName name="Prod_Opex_CG">'[1]Assumptions Register'!$D$78</definedName>
    <definedName name="ProdFac" localSheetId="12">#REF!</definedName>
    <definedName name="ProdFac">#REF!</definedName>
    <definedName name="RegIn" localSheetId="12">#REF!</definedName>
    <definedName name="RegIn">#REF!</definedName>
    <definedName name="Regprod" localSheetId="12">#REF!</definedName>
    <definedName name="Regprod">#REF!</definedName>
    <definedName name="RemainingSec" localSheetId="12">#REF!</definedName>
    <definedName name="RemainingSec">#REF!</definedName>
    <definedName name="Repayment_onoff">'[1]Assumptions Register'!$D$17</definedName>
    <definedName name="Scenarios">[5]Asset!$W$4:$W$5</definedName>
    <definedName name="Share" localSheetId="12">'[4]SSSA paragraph Credit check'!#REF!</definedName>
    <definedName name="Share">'[4]SSSA paragraph Credit check'!#REF!</definedName>
    <definedName name="Space" localSheetId="12">'[3]Yearly Profile kWh'!#REF!</definedName>
    <definedName name="Space">'[3]Yearly Profile kWh'!#REF!</definedName>
    <definedName name="SW_spread">'[1]Assumptions Register'!$D$7</definedName>
    <definedName name="Tables" localSheetId="12">'[4]SSSA paragraph Credit check'!#REF!</definedName>
    <definedName name="Tables">'[4]SSSA paragraph Credit check'!#REF!</definedName>
    <definedName name="Taqa_share">'[1]Assumptions Register'!$D$37</definedName>
    <definedName name="TaqaShare" localSheetId="12">'[4]SSSA paragraph Credit check'!#REF!</definedName>
    <definedName name="TaqaShare">'[4]SSSA paragraph Credit check'!#REF!</definedName>
    <definedName name="Tennet_prod_CG">'[1]Assumptions Register'!$D$77</definedName>
    <definedName name="Thousand" localSheetId="12">'[4]SSSA paragraph Credit check'!#REF!</definedName>
    <definedName name="Thousand">'[4]SSSA paragraph Credit check'!#REF!</definedName>
    <definedName name="Total_Capex">'[1]Assumptions Register'!$D$58</definedName>
    <definedName name="Tranp" localSheetId="12">#REF!</definedName>
    <definedName name="Tranp">#REF!</definedName>
    <definedName name="Transport" localSheetId="12">#REF!</definedName>
    <definedName name="Transport">#REF!</definedName>
    <definedName name="Transport_booking_tenor">'[1]Assumptions Register'!$D$95</definedName>
    <definedName name="Transport_fee_startdate">'[1]Assumptions Register'!$D$93</definedName>
    <definedName name="UCF" localSheetId="12">#REF!</definedName>
    <definedName name="UCF">#REF!</definedName>
    <definedName name="Undis" localSheetId="12">'[4]SSSA paragraph Credit check'!#REF!</definedName>
    <definedName name="Undis">'[4]SSSA paragraph Credit check'!#REF!</definedName>
    <definedName name="Very_Small_Number" localSheetId="12">'[4]SSSA paragraph Credit check'!#REF!</definedName>
    <definedName name="Very_Small_Number">'[4]SSSA paragraph Credit check'!#REF!</definedName>
    <definedName name="VolumeScenarios" localSheetId="12">'[4]SSSA paragraph Credit check'!#REF!</definedName>
    <definedName name="VolumeScenarios">'[4]SSSA paragraph Credit check'!#REF!</definedName>
    <definedName name="WCContingency" localSheetId="12">'[4]SSSA paragraph Credit check'!#REF!</definedName>
    <definedName name="WCContingency">'[4]SSSA paragraph Credit check'!#REF!</definedName>
    <definedName name="WCreq" localSheetId="12">#REF!</definedName>
    <definedName name="WCreq">#REF!</definedName>
    <definedName name="WV">'[1]Assumptions Register'!$D$34</definedName>
    <definedName name="Xinj">OFFSET([5]Asset!$J$48,[5]Asset!$I$22,0,[5]Asset!$I$23,1)</definedName>
    <definedName name="Xprod">OFFSET([5]Asset!$D$48,[5]Asset!$C$22,0,[5]Asset!$C$23,1)</definedName>
    <definedName name="YesNo" localSheetId="12">'[4]SSSA paragraph Credit check'!#REF!</definedName>
    <definedName name="YesNo">'[4]SSSA paragraph Credit check'!#REF!</definedName>
    <definedName name="Yinj">OFFSET([5]Asset!$I$48,[5]Asset!$I$22,0,[5]Asset!$I$23,1)</definedName>
    <definedName name="Yprod">OFFSET([5]Asset!$C$48,[5]Asset!$C$22,0,[5]Asset!$C$23,1)</definedName>
  </definedNames>
  <calcPr calcId="145621"/>
</workbook>
</file>

<file path=xl/calcChain.xml><?xml version="1.0" encoding="utf-8"?>
<calcChain xmlns="http://schemas.openxmlformats.org/spreadsheetml/2006/main">
  <c r="D25" i="16" l="1"/>
  <c r="D24" i="16"/>
  <c r="D48" i="16"/>
  <c r="D39" i="16" s="1"/>
  <c r="E41" i="16"/>
  <c r="D32" i="16"/>
  <c r="D29" i="16"/>
  <c r="D27" i="16"/>
  <c r="D34" i="16" l="1"/>
  <c r="D41" i="16" s="1"/>
  <c r="D42" i="16"/>
  <c r="D44" i="16"/>
  <c r="D43" i="16"/>
  <c r="D45" i="16" l="1"/>
  <c r="I22" i="7" l="1"/>
  <c r="I23" i="7"/>
  <c r="H22" i="11"/>
  <c r="I22" i="11"/>
  <c r="I23" i="11"/>
  <c r="J12" i="10"/>
  <c r="H12" i="10"/>
  <c r="H22" i="10"/>
  <c r="H23" i="10"/>
  <c r="I11" i="10"/>
  <c r="J32" i="10"/>
  <c r="J15" i="10"/>
  <c r="J18" i="10"/>
  <c r="I32" i="10"/>
  <c r="H32" i="10"/>
  <c r="H15" i="10"/>
  <c r="H18" i="10"/>
  <c r="H14" i="10"/>
  <c r="H17" i="10"/>
  <c r="I14" i="6"/>
  <c r="I17" i="6"/>
  <c r="G26" i="1"/>
  <c r="G27" i="1"/>
  <c r="H41" i="1"/>
  <c r="I41" i="1"/>
  <c r="J41" i="1"/>
  <c r="G41" i="1"/>
  <c r="J22" i="7"/>
  <c r="J23" i="7"/>
  <c r="J15" i="7"/>
  <c r="J18" i="7"/>
  <c r="H22" i="7"/>
  <c r="H23" i="7"/>
  <c r="H14" i="7"/>
  <c r="H17" i="7"/>
  <c r="I14" i="7"/>
  <c r="I17" i="7"/>
  <c r="I42" i="13"/>
  <c r="J32" i="7"/>
  <c r="H32" i="7"/>
  <c r="I32" i="7"/>
  <c r="D31" i="3"/>
  <c r="N29" i="3"/>
  <c r="H22" i="6"/>
  <c r="C3" i="13" s="1"/>
  <c r="I22" i="6"/>
  <c r="J22" i="6"/>
  <c r="J22" i="11"/>
  <c r="J23" i="11"/>
  <c r="J14" i="11"/>
  <c r="J17" i="11"/>
  <c r="J32" i="11"/>
  <c r="H14" i="11"/>
  <c r="H17" i="11"/>
  <c r="H32" i="11"/>
  <c r="I15" i="11"/>
  <c r="I18" i="11"/>
  <c r="I14" i="11"/>
  <c r="I17" i="11"/>
  <c r="G17" i="11"/>
  <c r="I32" i="11"/>
  <c r="H14" i="6"/>
  <c r="H17" i="6"/>
  <c r="E8" i="13"/>
  <c r="J14" i="6"/>
  <c r="J17" i="6"/>
  <c r="G17" i="6"/>
  <c r="H15" i="6"/>
  <c r="H18" i="6"/>
  <c r="I15" i="6"/>
  <c r="I18" i="6"/>
  <c r="I10" i="13"/>
  <c r="I29" i="6"/>
  <c r="I42" i="6" s="1"/>
  <c r="J15" i="6"/>
  <c r="J18" i="6"/>
  <c r="M9" i="13"/>
  <c r="G18" i="6"/>
  <c r="R8" i="13"/>
  <c r="H26" i="6"/>
  <c r="H27" i="6"/>
  <c r="I27" i="6"/>
  <c r="I26" i="6"/>
  <c r="J27" i="6"/>
  <c r="J26" i="6"/>
  <c r="C36" i="13"/>
  <c r="K36" i="13"/>
  <c r="C37" i="13"/>
  <c r="K37" i="13"/>
  <c r="I15" i="7"/>
  <c r="I18" i="7"/>
  <c r="I44" i="13"/>
  <c r="G8" i="7"/>
  <c r="H15" i="7"/>
  <c r="H18" i="7"/>
  <c r="E43" i="13"/>
  <c r="G18" i="7"/>
  <c r="R42" i="13"/>
  <c r="G7" i="7"/>
  <c r="J14" i="7"/>
  <c r="J17" i="7"/>
  <c r="M41" i="13"/>
  <c r="G17" i="7"/>
  <c r="R40" i="13"/>
  <c r="G23" i="7"/>
  <c r="G21" i="7"/>
  <c r="M44" i="13"/>
  <c r="E44" i="13"/>
  <c r="I43" i="13"/>
  <c r="M42" i="13"/>
  <c r="E42" i="13"/>
  <c r="E41" i="13"/>
  <c r="G8" i="11"/>
  <c r="H15" i="11"/>
  <c r="H18" i="11"/>
  <c r="J15" i="11"/>
  <c r="J18" i="11"/>
  <c r="I32" i="13"/>
  <c r="I31" i="13"/>
  <c r="G7" i="11"/>
  <c r="R29" i="13"/>
  <c r="I30" i="13"/>
  <c r="E30" i="13"/>
  <c r="R28" i="13"/>
  <c r="E29" i="13"/>
  <c r="G21" i="11"/>
  <c r="G7" i="10"/>
  <c r="I14" i="10"/>
  <c r="I17" i="10"/>
  <c r="J14" i="10"/>
  <c r="J17" i="10"/>
  <c r="M19" i="13"/>
  <c r="G21" i="10"/>
  <c r="G8" i="10"/>
  <c r="M21" i="13"/>
  <c r="M20" i="13"/>
  <c r="M18" i="13"/>
  <c r="I18" i="13"/>
  <c r="E20" i="13"/>
  <c r="E19" i="13"/>
  <c r="E18" i="13"/>
  <c r="G8" i="6"/>
  <c r="R9" i="13"/>
  <c r="G7" i="6"/>
  <c r="R6" i="13"/>
  <c r="G21" i="6"/>
  <c r="C18" i="14"/>
  <c r="C25" i="14"/>
  <c r="G23" i="14"/>
  <c r="C32" i="14"/>
  <c r="G30" i="14"/>
  <c r="E30" i="14"/>
  <c r="C39" i="14"/>
  <c r="E37" i="14"/>
  <c r="G37" i="14"/>
  <c r="G38" i="14"/>
  <c r="E38" i="14"/>
  <c r="G31" i="14"/>
  <c r="E31" i="14"/>
  <c r="G24" i="14"/>
  <c r="E24" i="14"/>
  <c r="G17" i="14"/>
  <c r="E17" i="14"/>
  <c r="K4" i="13"/>
  <c r="M8" i="13"/>
  <c r="M10" i="13"/>
  <c r="I9" i="13"/>
  <c r="K3" i="13"/>
  <c r="E9" i="13"/>
  <c r="N34" i="3"/>
  <c r="D29" i="3"/>
  <c r="D33" i="3"/>
  <c r="N31" i="3"/>
  <c r="C33" i="3"/>
  <c r="M31" i="3"/>
  <c r="C32" i="3"/>
  <c r="M30" i="3"/>
  <c r="D32" i="3"/>
  <c r="N30" i="3"/>
  <c r="C31" i="3"/>
  <c r="M29" i="3"/>
  <c r="G22" i="7"/>
  <c r="G9" i="11"/>
  <c r="G11" i="11"/>
  <c r="G12" i="11"/>
  <c r="G9" i="10"/>
  <c r="G11" i="10"/>
  <c r="G9" i="7"/>
  <c r="G11" i="7"/>
  <c r="G12" i="7"/>
  <c r="G12" i="6"/>
  <c r="G11" i="6"/>
  <c r="G9" i="6"/>
  <c r="J42" i="1"/>
  <c r="J43" i="1"/>
  <c r="H42" i="1"/>
  <c r="H43" i="1"/>
  <c r="I42" i="1"/>
  <c r="G42" i="1"/>
  <c r="H25" i="10"/>
  <c r="H27" i="10"/>
  <c r="C15" i="13"/>
  <c r="C14" i="13"/>
  <c r="E10" i="13"/>
  <c r="M30" i="13"/>
  <c r="M29" i="13"/>
  <c r="J25" i="11"/>
  <c r="G4" i="13"/>
  <c r="G3" i="13"/>
  <c r="I25" i="7"/>
  <c r="I43" i="7"/>
  <c r="I26" i="7"/>
  <c r="I44" i="7"/>
  <c r="I27" i="7"/>
  <c r="G36" i="13"/>
  <c r="P36" i="13"/>
  <c r="G37" i="13"/>
  <c r="P37" i="13"/>
  <c r="E7" i="13"/>
  <c r="E23" i="14"/>
  <c r="G16" i="14"/>
  <c r="E16" i="14"/>
  <c r="R7" i="13"/>
  <c r="G17" i="10"/>
  <c r="R17" i="13"/>
  <c r="I19" i="13"/>
  <c r="R18" i="13"/>
  <c r="I29" i="13"/>
  <c r="M32" i="13"/>
  <c r="M31" i="13"/>
  <c r="G18" i="11"/>
  <c r="E32" i="13"/>
  <c r="E31" i="13"/>
  <c r="I41" i="13"/>
  <c r="R39" i="13"/>
  <c r="R41" i="13"/>
  <c r="K25" i="13"/>
  <c r="K26" i="13"/>
  <c r="J29" i="6"/>
  <c r="J42" i="6" s="1"/>
  <c r="M7" i="13"/>
  <c r="I38" i="7"/>
  <c r="I33" i="7"/>
  <c r="J33" i="7"/>
  <c r="J25" i="7"/>
  <c r="M43" i="13"/>
  <c r="G43" i="1"/>
  <c r="I43" i="1"/>
  <c r="I7" i="13"/>
  <c r="I8" i="13"/>
  <c r="E21" i="13"/>
  <c r="I26" i="11"/>
  <c r="I44" i="11"/>
  <c r="I25" i="11"/>
  <c r="I43" i="11"/>
  <c r="G26" i="13"/>
  <c r="G25" i="13"/>
  <c r="H23" i="11"/>
  <c r="G22" i="11"/>
  <c r="H33" i="7"/>
  <c r="G33" i="7"/>
  <c r="H25" i="7"/>
  <c r="H26" i="7"/>
  <c r="H49" i="1"/>
  <c r="I49" i="1"/>
  <c r="J49" i="1"/>
  <c r="G49" i="1"/>
  <c r="I12" i="10"/>
  <c r="I15" i="10"/>
  <c r="I18" i="10"/>
  <c r="J22" i="10"/>
  <c r="J23" i="10"/>
  <c r="J25" i="10"/>
  <c r="J43" i="10"/>
  <c r="J26" i="10"/>
  <c r="J27" i="10"/>
  <c r="J44" i="10"/>
  <c r="K15" i="13"/>
  <c r="K14" i="13"/>
  <c r="I21" i="13"/>
  <c r="I20" i="13"/>
  <c r="H44" i="7"/>
  <c r="H25" i="11"/>
  <c r="G23" i="11"/>
  <c r="C26" i="13"/>
  <c r="P26" i="13"/>
  <c r="C25" i="13"/>
  <c r="P25" i="13"/>
  <c r="J26" i="7"/>
  <c r="J44" i="7"/>
  <c r="J27" i="7"/>
  <c r="J43" i="7"/>
  <c r="R31" i="13"/>
  <c r="R30" i="13"/>
  <c r="J43" i="11"/>
  <c r="J26" i="11"/>
  <c r="J44" i="11"/>
  <c r="H44" i="10"/>
  <c r="H43" i="10"/>
  <c r="I22" i="10"/>
  <c r="G22" i="10"/>
  <c r="G12" i="10"/>
  <c r="I23" i="10"/>
  <c r="G25" i="7"/>
  <c r="H43" i="7"/>
  <c r="H27" i="7"/>
  <c r="G27" i="7"/>
  <c r="H38" i="7"/>
  <c r="I27" i="11"/>
  <c r="G18" i="10"/>
  <c r="J27" i="11"/>
  <c r="H26" i="10"/>
  <c r="H35" i="10"/>
  <c r="H34" i="10"/>
  <c r="J34" i="11"/>
  <c r="J40" i="11"/>
  <c r="J35" i="11"/>
  <c r="R19" i="13"/>
  <c r="R20" i="13"/>
  <c r="I25" i="10"/>
  <c r="I26" i="10"/>
  <c r="G15" i="13"/>
  <c r="P15" i="13"/>
  <c r="G14" i="13"/>
  <c r="P14" i="13"/>
  <c r="G23" i="10"/>
  <c r="H43" i="11"/>
  <c r="G25" i="11"/>
  <c r="G44" i="7"/>
  <c r="J34" i="10"/>
  <c r="J40" i="10"/>
  <c r="J35" i="10"/>
  <c r="I34" i="11"/>
  <c r="I40" i="11"/>
  <c r="I35" i="11"/>
  <c r="G38" i="7"/>
  <c r="G43" i="7"/>
  <c r="J38" i="7"/>
  <c r="H26" i="11"/>
  <c r="H27" i="11"/>
  <c r="G26" i="7"/>
  <c r="G37" i="7"/>
  <c r="I45" i="7"/>
  <c r="I46" i="7"/>
  <c r="I47" i="7"/>
  <c r="I49" i="7"/>
  <c r="I51" i="7"/>
  <c r="J45" i="7"/>
  <c r="J46" i="7"/>
  <c r="H45" i="7"/>
  <c r="H44" i="11"/>
  <c r="G44" i="11"/>
  <c r="G26" i="11"/>
  <c r="G37" i="11"/>
  <c r="G29" i="11"/>
  <c r="I34" i="10"/>
  <c r="I40" i="10"/>
  <c r="I35" i="10"/>
  <c r="I43" i="10"/>
  <c r="G25" i="10"/>
  <c r="G29" i="7"/>
  <c r="B34" i="13"/>
  <c r="G26" i="10"/>
  <c r="H35" i="11"/>
  <c r="G35" i="11"/>
  <c r="G27" i="11"/>
  <c r="H34" i="11"/>
  <c r="G43" i="11"/>
  <c r="I27" i="10"/>
  <c r="G30" i="7"/>
  <c r="B33" i="13"/>
  <c r="H40" i="10"/>
  <c r="G40" i="10"/>
  <c r="G34" i="10"/>
  <c r="G35" i="10"/>
  <c r="G39" i="10"/>
  <c r="H39" i="10"/>
  <c r="J47" i="10"/>
  <c r="I47" i="10"/>
  <c r="H47" i="10"/>
  <c r="L39" i="13"/>
  <c r="L38" i="13"/>
  <c r="H38" i="13"/>
  <c r="H39" i="13"/>
  <c r="H40" i="13"/>
  <c r="D39" i="13"/>
  <c r="D38" i="13"/>
  <c r="G29" i="10"/>
  <c r="G45" i="7"/>
  <c r="J47" i="7"/>
  <c r="J49" i="7"/>
  <c r="J51" i="7"/>
  <c r="H46" i="7"/>
  <c r="G46" i="7"/>
  <c r="I44" i="10"/>
  <c r="G44" i="10"/>
  <c r="G27" i="10"/>
  <c r="G30" i="10"/>
  <c r="B11" i="13"/>
  <c r="G34" i="11"/>
  <c r="G38" i="11"/>
  <c r="H38" i="11"/>
  <c r="H40" i="11"/>
  <c r="G40" i="11"/>
  <c r="G43" i="10"/>
  <c r="G30" i="11"/>
  <c r="B22" i="13"/>
  <c r="H47" i="7"/>
  <c r="L16" i="13"/>
  <c r="H16" i="13"/>
  <c r="G47" i="7"/>
  <c r="H49" i="7"/>
  <c r="B12" i="13"/>
  <c r="D16" i="13"/>
  <c r="H45" i="11"/>
  <c r="I45" i="11"/>
  <c r="J45" i="11"/>
  <c r="J46" i="11"/>
  <c r="H46" i="11"/>
  <c r="G39" i="11"/>
  <c r="H39" i="11"/>
  <c r="B23" i="13"/>
  <c r="H27" i="13"/>
  <c r="G37" i="10"/>
  <c r="G38" i="10"/>
  <c r="H38" i="10"/>
  <c r="L40" i="13"/>
  <c r="D40" i="13"/>
  <c r="Q38" i="13"/>
  <c r="G47" i="10"/>
  <c r="I45" i="10"/>
  <c r="I49" i="10"/>
  <c r="I51" i="10"/>
  <c r="J45" i="10"/>
  <c r="H46" i="10"/>
  <c r="G46" i="10"/>
  <c r="J46" i="10"/>
  <c r="H45" i="10"/>
  <c r="I46" i="10"/>
  <c r="I47" i="11"/>
  <c r="J47" i="11"/>
  <c r="H47" i="11"/>
  <c r="G47" i="11"/>
  <c r="L28" i="13"/>
  <c r="D27" i="13"/>
  <c r="D28" i="13"/>
  <c r="H51" i="7"/>
  <c r="G51" i="7"/>
  <c r="G49" i="7"/>
  <c r="I46" i="11"/>
  <c r="I49" i="11"/>
  <c r="I51" i="11"/>
  <c r="J49" i="11"/>
  <c r="J51" i="11"/>
  <c r="G45" i="11"/>
  <c r="H49" i="11"/>
  <c r="L27" i="13"/>
  <c r="L17" i="13"/>
  <c r="H17" i="13"/>
  <c r="H51" i="11"/>
  <c r="G51" i="11"/>
  <c r="G49" i="11"/>
  <c r="G45" i="10"/>
  <c r="H49" i="10"/>
  <c r="D17" i="13"/>
  <c r="Q16" i="13"/>
  <c r="H28" i="13"/>
  <c r="G46" i="11"/>
  <c r="Q27" i="13"/>
  <c r="J49" i="10"/>
  <c r="J51" i="10"/>
  <c r="G49" i="10"/>
  <c r="H51" i="10"/>
  <c r="G51" i="10"/>
  <c r="H29" i="6" l="1"/>
  <c r="G22" i="6"/>
  <c r="C4" i="13"/>
  <c r="G29" i="6" l="1"/>
  <c r="H42" i="6"/>
  <c r="P3" i="13"/>
  <c r="G24" i="6"/>
  <c r="P4" i="13"/>
  <c r="I30" i="6" l="1"/>
  <c r="I43" i="6" s="1"/>
  <c r="B1" i="13"/>
  <c r="J31" i="6"/>
  <c r="J34" i="6" s="1"/>
  <c r="J30" i="6"/>
  <c r="J43" i="6" s="1"/>
  <c r="I31" i="6"/>
  <c r="I34" i="6" s="1"/>
  <c r="H30" i="6"/>
  <c r="H31" i="6"/>
  <c r="G31" i="6" s="1"/>
  <c r="I33" i="6"/>
  <c r="I39" i="6" s="1"/>
  <c r="G42" i="6"/>
  <c r="J33" i="6" l="1"/>
  <c r="J39" i="6" s="1"/>
  <c r="H33" i="6"/>
  <c r="H39" i="6" s="1"/>
  <c r="G39" i="6" s="1"/>
  <c r="H34" i="6"/>
  <c r="G34" i="6" s="1"/>
  <c r="H38" i="6" s="1"/>
  <c r="G30" i="6"/>
  <c r="G36" i="6" s="1"/>
  <c r="H43" i="6"/>
  <c r="H5" i="13"/>
  <c r="L5" i="13"/>
  <c r="D5" i="13"/>
  <c r="G38" i="6" l="1"/>
  <c r="G33" i="6"/>
  <c r="G37" i="6" s="1"/>
  <c r="H37" i="6" s="1"/>
  <c r="I44" i="6" s="1"/>
  <c r="G43" i="6"/>
  <c r="I46" i="6"/>
  <c r="H46" i="6"/>
  <c r="J46" i="6"/>
  <c r="H45" i="6" l="1"/>
  <c r="J45" i="6"/>
  <c r="H44" i="6"/>
  <c r="G44" i="6" s="1"/>
  <c r="I45" i="6"/>
  <c r="H6" i="13" s="1"/>
  <c r="G46" i="6"/>
  <c r="J44" i="6"/>
  <c r="J48" i="6" s="1"/>
  <c r="J50" i="6" s="1"/>
  <c r="D6" i="13"/>
  <c r="L6" i="13"/>
  <c r="H48" i="6" l="1"/>
  <c r="I48" i="6"/>
  <c r="I50" i="6" s="1"/>
  <c r="G45" i="6"/>
  <c r="H50" i="6"/>
  <c r="Q5" i="13"/>
  <c r="G48" i="6" l="1"/>
  <c r="G50" i="6"/>
</calcChain>
</file>

<file path=xl/sharedStrings.xml><?xml version="1.0" encoding="utf-8"?>
<sst xmlns="http://schemas.openxmlformats.org/spreadsheetml/2006/main" count="516" uniqueCount="258">
  <si>
    <t>Default Quantity (kWh)</t>
  </si>
  <si>
    <t>Payment (BGS to Customer, euro)</t>
  </si>
  <si>
    <t>Payment (Customer to BGS, euro)</t>
  </si>
  <si>
    <t>THIS SHEET WILL BE HIDDEN!!!</t>
  </si>
  <si>
    <t>Injection Maintenance Factor</t>
  </si>
  <si>
    <t>Injection Pressure Factor</t>
  </si>
  <si>
    <t>Injection Outage Factor</t>
  </si>
  <si>
    <t>ipf</t>
  </si>
  <si>
    <t>imf</t>
  </si>
  <si>
    <t>iuf</t>
  </si>
  <si>
    <t>iof</t>
  </si>
  <si>
    <t>iff</t>
  </si>
  <si>
    <t>Injection Unplanned Maintenance Factor</t>
  </si>
  <si>
    <t>Firm Injection Capacity</t>
  </si>
  <si>
    <t>=</t>
  </si>
  <si>
    <t>Input Maintenance Factors</t>
  </si>
  <si>
    <t>Input Capacities and Gas In Storage</t>
  </si>
  <si>
    <t>Registered Injection Capacity (kWh/h)</t>
  </si>
  <si>
    <t>Registered Space (kWh)</t>
  </si>
  <si>
    <t>Firm Injection Capacity (kWh/h)</t>
  </si>
  <si>
    <t>Registered Injection Capacity * ipf * (1 - imf - iuf - iof - iff)</t>
  </si>
  <si>
    <t>(1 - imf - iuf - iof - iff)</t>
  </si>
  <si>
    <t>Liquidated Damages</t>
  </si>
  <si>
    <t>Injection Outage Liquidated Damages</t>
  </si>
  <si>
    <t>50% * Spread * Registered Injection Capacity * ipf * iof</t>
  </si>
  <si>
    <t>Injection Outage Liquidated Damages (euro) =</t>
  </si>
  <si>
    <t>Other Definitions</t>
  </si>
  <si>
    <t>Bundle Definition</t>
  </si>
  <si>
    <t>Injection Capacity (kWh/h)</t>
  </si>
  <si>
    <t>Withdrawal Capacity (kWh/h)</t>
  </si>
  <si>
    <t>Space (kWh)</t>
  </si>
  <si>
    <t>Nr. Of Bundles</t>
  </si>
  <si>
    <r>
      <t xml:space="preserve">D-1 </t>
    </r>
    <r>
      <rPr>
        <b/>
        <sz val="8"/>
        <rFont val="Verdana"/>
        <family val="2"/>
      </rPr>
      <t>04-05</t>
    </r>
  </si>
  <si>
    <r>
      <t xml:space="preserve">D-1 </t>
    </r>
    <r>
      <rPr>
        <b/>
        <sz val="8"/>
        <rFont val="Verdana"/>
        <family val="2"/>
      </rPr>
      <t>05-06</t>
    </r>
  </si>
  <si>
    <r>
      <t xml:space="preserve">D </t>
    </r>
    <r>
      <rPr>
        <b/>
        <sz val="8"/>
        <rFont val="Verdana"/>
        <family val="2"/>
      </rPr>
      <t>06-07</t>
    </r>
  </si>
  <si>
    <r>
      <t xml:space="preserve">D </t>
    </r>
    <r>
      <rPr>
        <b/>
        <sz val="8"/>
        <rFont val="Verdana"/>
        <family val="2"/>
      </rPr>
      <t>07-08</t>
    </r>
  </si>
  <si>
    <t>Normal Day</t>
  </si>
  <si>
    <t>Customer A</t>
  </si>
  <si>
    <t>Customer B</t>
  </si>
  <si>
    <t>Customer C</t>
  </si>
  <si>
    <t>ipf (D)</t>
  </si>
  <si>
    <t>Request</t>
  </si>
  <si>
    <t>SUM</t>
  </si>
  <si>
    <t>Forward Direction</t>
  </si>
  <si>
    <t>Firm Injection Capacity (H)</t>
  </si>
  <si>
    <t>Firm Withdrawal Capacity (H)</t>
  </si>
  <si>
    <t>wpf (D)</t>
  </si>
  <si>
    <t>Customer Type Injection</t>
  </si>
  <si>
    <t>Customer Type Withdrawal</t>
  </si>
  <si>
    <t>Firm Part of Request</t>
  </si>
  <si>
    <t>Request (+ injection, - withdrawal)</t>
  </si>
  <si>
    <t>Forward Interruptible Part of Request</t>
  </si>
  <si>
    <t>Forward Int Primary Customer</t>
  </si>
  <si>
    <t>Forward Int. Secondary Customer</t>
  </si>
  <si>
    <t>Interruptible Forward Capacity Availalable</t>
  </si>
  <si>
    <t>Primary Requests awarded</t>
  </si>
  <si>
    <t>Secondary Requests awarded</t>
  </si>
  <si>
    <t>Full Storage Customer?</t>
  </si>
  <si>
    <t>No additional use of Interruptible Space</t>
  </si>
  <si>
    <t>Interruptible Space in Use</t>
  </si>
  <si>
    <t>Withdrawal Scheduled for FSCs</t>
  </si>
  <si>
    <t>Mandatory Withdrawal (2nd round)</t>
  </si>
  <si>
    <t>All requests (step 4) will be awarded!</t>
  </si>
  <si>
    <t>Use sheet FSD MD</t>
  </si>
  <si>
    <t>Use sheet FSD Injection</t>
  </si>
  <si>
    <t>Withdrawal Interruptible Primary Customer</t>
  </si>
  <si>
    <t>Withdrawal Interruptible Secondary Customer</t>
  </si>
  <si>
    <t>Primary Withdrawal Requests awarded</t>
  </si>
  <si>
    <t>Secondary Withdrawal Requests awarded</t>
  </si>
  <si>
    <t>All requests (step 5) will be awarded!</t>
  </si>
  <si>
    <t>2nd Forward Direction, Int Injection taken into account</t>
  </si>
  <si>
    <t>1st Forward Direction, Int Injection NOT taken into account</t>
  </si>
  <si>
    <t>Use sheet FSD Withdrawal</t>
  </si>
  <si>
    <t>All Interruptible Withdrawal and Firm Requests will be awarded.</t>
  </si>
  <si>
    <t>Injection Interruptible Primary Customer</t>
  </si>
  <si>
    <t>Injection Interruptible Secondary Customer</t>
  </si>
  <si>
    <t>Primary Injection Requests awarded</t>
  </si>
  <si>
    <t>Secondary Injection Requests awarded</t>
  </si>
  <si>
    <t>Registered Capacity for Primary Injection Int. Request</t>
  </si>
  <si>
    <t>Registered Capacity for Primary Withdrawal Int. Request</t>
  </si>
  <si>
    <t>Interruptible Withdrawal Capacity Available</t>
  </si>
  <si>
    <t>Interruptible Injection Capacity Available</t>
  </si>
  <si>
    <t>Full Storage Day, Total Flow is zero</t>
  </si>
  <si>
    <t>Full Storage Day, Total Flow is zero, Mandatory Withdrawal</t>
  </si>
  <si>
    <t>Interruptible Withdrawal Request</t>
  </si>
  <si>
    <t>Interruptible Injection Request</t>
  </si>
  <si>
    <t>Firm Request</t>
  </si>
  <si>
    <t>Use sheet FSD W</t>
  </si>
  <si>
    <t>Use sheet FSD I</t>
  </si>
  <si>
    <t>Mandatory Withdrawal</t>
  </si>
  <si>
    <t>Registered Injection Capacity (D)</t>
  </si>
  <si>
    <t>Registered Withdrawal Capacity (D)</t>
  </si>
  <si>
    <t>Registered Space (D)</t>
  </si>
  <si>
    <r>
      <t xml:space="preserve">D-1 </t>
    </r>
    <r>
      <rPr>
        <b/>
        <sz val="8"/>
        <color indexed="63"/>
        <rFont val="Verdana"/>
        <family val="2"/>
      </rPr>
      <t>04-05</t>
    </r>
  </si>
  <si>
    <r>
      <t xml:space="preserve">D-1 </t>
    </r>
    <r>
      <rPr>
        <b/>
        <sz val="8"/>
        <color indexed="63"/>
        <rFont val="Verdana"/>
        <family val="2"/>
      </rPr>
      <t>05-06</t>
    </r>
  </si>
  <si>
    <r>
      <t xml:space="preserve">D </t>
    </r>
    <r>
      <rPr>
        <b/>
        <sz val="8"/>
        <color indexed="63"/>
        <rFont val="Verdana"/>
        <family val="2"/>
      </rPr>
      <t>06-07</t>
    </r>
  </si>
  <si>
    <r>
      <t xml:space="preserve">D </t>
    </r>
    <r>
      <rPr>
        <b/>
        <sz val="8"/>
        <color indexed="63"/>
        <rFont val="Verdana"/>
        <family val="2"/>
      </rPr>
      <t>07-08</t>
    </r>
  </si>
  <si>
    <t>Registered Cap. for Primary Forward Int. Request</t>
  </si>
  <si>
    <t>Primary Capacities</t>
  </si>
  <si>
    <t>Spread</t>
  </si>
  <si>
    <t>Registered Capacities</t>
  </si>
  <si>
    <t>Registered Injection Capacity</t>
  </si>
  <si>
    <t>Registered Withdrawal Capacity</t>
  </si>
  <si>
    <t>Secondary Bundled Trading</t>
  </si>
  <si>
    <t>Secondary Unbundled Trading</t>
  </si>
  <si>
    <t>Buys From</t>
  </si>
  <si>
    <t>Sells To</t>
  </si>
  <si>
    <t>Secondary Gas In Storage Trading</t>
  </si>
  <si>
    <t>Start Date</t>
  </si>
  <si>
    <t>End Date</t>
  </si>
  <si>
    <t>Full Storage Day, Total Flow is withdrawal</t>
  </si>
  <si>
    <t>Screen Trades</t>
  </si>
  <si>
    <t>Primary Market</t>
  </si>
  <si>
    <t>Date of Transfer is D+1 06:00</t>
  </si>
  <si>
    <t>Hourly Request (+ injection, - withdrawal)</t>
  </si>
  <si>
    <t>Gas-In-Storage (kWh), Start Of Day</t>
  </si>
  <si>
    <t>Confirmed Firm</t>
  </si>
  <si>
    <t>Firm Withdrawal Capacity</t>
  </si>
  <si>
    <t>Rejected Part of Request</t>
  </si>
  <si>
    <t>Confirmed Interruptable</t>
  </si>
  <si>
    <t>A</t>
  </si>
  <si>
    <t>B</t>
  </si>
  <si>
    <t>C</t>
  </si>
  <si>
    <t>BGS Fault</t>
  </si>
  <si>
    <t>Customer Fault</t>
  </si>
  <si>
    <t xml:space="preserve">
- BGS has not delivered enough
- the buyer (Customer) is short
</t>
  </si>
  <si>
    <t xml:space="preserve">
- BGS has delivered too much
- the buyer (Customer) is long
</t>
  </si>
  <si>
    <t>- Customer has not taken enough
- the seller (BGS) is long</t>
  </si>
  <si>
    <t xml:space="preserve">
- Customer has taken too much
- the seller (BGS) is short
</t>
  </si>
  <si>
    <t>- BGS has not taken enough
- the seller (Customer) is long</t>
  </si>
  <si>
    <t>- BGS has taken too much
- the seller (Customer) is short</t>
  </si>
  <si>
    <t>- Customer has not delivered enough
- the buyer (BGS) is short</t>
  </si>
  <si>
    <t>- Customer has delivered too much
- the buyer (BGS) is long</t>
  </si>
  <si>
    <t>BGS should deliver 
BGS is deemed the seller
Customer is deemed the buyer</t>
  </si>
  <si>
    <t>the Customer should deliver
the Customer is deemed the seller
BGS is deemed the buyer</t>
  </si>
  <si>
    <t>Example</t>
  </si>
  <si>
    <t>Gas-in-Storage (start of hour, kWh)</t>
  </si>
  <si>
    <t>Contractual Gas-in-Storage (end of hour, kWh)</t>
  </si>
  <si>
    <t>Buy Price (eur/MWh)</t>
  </si>
  <si>
    <t>Sell Price (eur/MWh)</t>
  </si>
  <si>
    <t>Contract Quantity (kWh)</t>
  </si>
  <si>
    <t>Delivered Quantity (kWh)</t>
  </si>
  <si>
    <t>TimeLine Requests</t>
  </si>
  <si>
    <t>D-1</t>
  </si>
  <si>
    <t>D</t>
  </si>
  <si>
    <t>...</t>
  </si>
  <si>
    <t>Publish Interruptible Fees for D</t>
  </si>
  <si>
    <t>Is D a Normal Day or Full Storage Day? *</t>
  </si>
  <si>
    <t>Determine Full Storage Customers for D *</t>
  </si>
  <si>
    <t>Calculate Pressure Factors for D *</t>
  </si>
  <si>
    <t>Secondary Trading for D</t>
  </si>
  <si>
    <t>Sending Requests for whole D</t>
  </si>
  <si>
    <t>Sending Requests for part of D</t>
  </si>
  <si>
    <t>Preliminary</t>
  </si>
  <si>
    <t>Final</t>
  </si>
  <si>
    <t>Possible</t>
  </si>
  <si>
    <t>Accepted Request (Request &gt; Gas In Storage)</t>
  </si>
  <si>
    <r>
      <t xml:space="preserve">
Underdelivery</t>
    </r>
    <r>
      <rPr>
        <sz val="10"/>
        <color indexed="63"/>
        <rFont val="Verdana"/>
        <family val="2"/>
      </rPr>
      <t xml:space="preserve">
the Contract Quantity exceeds the Delivered Quantity by reason of Seller’s Default
</t>
    </r>
  </si>
  <si>
    <r>
      <t>Overdelivery</t>
    </r>
    <r>
      <rPr>
        <sz val="10"/>
        <color indexed="63"/>
        <rFont val="Verdana"/>
        <family val="2"/>
      </rPr>
      <t xml:space="preserve">
the Delivered Quantity exceeds the Contract Quantity by reason of Seller’s Default</t>
    </r>
  </si>
  <si>
    <r>
      <t>Underacceptance</t>
    </r>
    <r>
      <rPr>
        <sz val="10"/>
        <color indexed="63"/>
        <rFont val="Verdana"/>
        <family val="2"/>
      </rPr>
      <t xml:space="preserve"> 
the Contract Quantity exceeds the Delivered Quantity by reason of Buyer’s Default</t>
    </r>
  </si>
  <si>
    <r>
      <t>Overacceptance</t>
    </r>
    <r>
      <rPr>
        <sz val="10"/>
        <color indexed="63"/>
        <rFont val="Verdana"/>
        <family val="2"/>
      </rPr>
      <t xml:space="preserve"> 
the Delivered Quantity exceeds the Contract Quantity by reason of Buyer’s Default</t>
    </r>
  </si>
  <si>
    <r>
      <t>Underacceptance</t>
    </r>
    <r>
      <rPr>
        <sz val="10"/>
        <color indexed="63"/>
        <rFont val="Verdana"/>
        <family val="2"/>
      </rPr>
      <t xml:space="preserve">
the Contract Quantity exceeds the Delivered Quantity by reason of Buyer’s Default</t>
    </r>
  </si>
  <si>
    <r>
      <t>Overacceptance</t>
    </r>
    <r>
      <rPr>
        <sz val="10"/>
        <color indexed="63"/>
        <rFont val="Verdana"/>
        <family val="2"/>
      </rPr>
      <t xml:space="preserve">
the Delivered Quantity exceeds the Contract Quantity by reason of Buyer’s Default</t>
    </r>
  </si>
  <si>
    <r>
      <t>Underdelivery</t>
    </r>
    <r>
      <rPr>
        <sz val="10"/>
        <color indexed="63"/>
        <rFont val="Verdana"/>
        <family val="2"/>
      </rPr>
      <t xml:space="preserve">
the Contract Quantity exceeds the Delivered Quantity by reason of Seller’s Default</t>
    </r>
  </si>
  <si>
    <r>
      <t>Overdelivery</t>
    </r>
    <r>
      <rPr>
        <sz val="10"/>
        <color indexed="63"/>
        <rFont val="Verdana"/>
        <family val="2"/>
      </rPr>
      <t xml:space="preserve"> 
the Delivered Quantity exceeds the Contract Quantity by reason of Seller’s Default</t>
    </r>
  </si>
  <si>
    <r>
      <t xml:space="preserve">Withdrawal
</t>
    </r>
    <r>
      <rPr>
        <b/>
        <sz val="10"/>
        <color indexed="27"/>
        <rFont val="Verdana"/>
        <family val="2"/>
      </rPr>
      <t>Contract Quantity</t>
    </r>
    <r>
      <rPr>
        <b/>
        <sz val="10"/>
        <color indexed="63"/>
        <rFont val="Verdana"/>
        <family val="2"/>
      </rPr>
      <t xml:space="preserve"> </t>
    </r>
    <r>
      <rPr>
        <sz val="10"/>
        <color indexed="63"/>
        <rFont val="Verdana"/>
        <family val="2"/>
      </rPr>
      <t>exceeds</t>
    </r>
    <r>
      <rPr>
        <b/>
        <sz val="10"/>
        <color indexed="63"/>
        <rFont val="Verdana"/>
        <family val="2"/>
      </rPr>
      <t xml:space="preserve"> </t>
    </r>
    <r>
      <rPr>
        <b/>
        <sz val="10"/>
        <color indexed="26"/>
        <rFont val="Verdana"/>
        <family val="2"/>
      </rPr>
      <t>Delivered Quantity</t>
    </r>
  </si>
  <si>
    <r>
      <t xml:space="preserve">Withdrawal
</t>
    </r>
    <r>
      <rPr>
        <b/>
        <sz val="10"/>
        <color indexed="26"/>
        <rFont val="Verdana"/>
        <family val="2"/>
      </rPr>
      <t>Delivered Quantity</t>
    </r>
    <r>
      <rPr>
        <b/>
        <sz val="10"/>
        <color indexed="63"/>
        <rFont val="Verdana"/>
        <family val="2"/>
      </rPr>
      <t xml:space="preserve"> </t>
    </r>
    <r>
      <rPr>
        <sz val="10"/>
        <color indexed="63"/>
        <rFont val="Verdana"/>
        <family val="2"/>
      </rPr>
      <t>exceeds</t>
    </r>
    <r>
      <rPr>
        <b/>
        <sz val="10"/>
        <color indexed="63"/>
        <rFont val="Verdana"/>
        <family val="2"/>
      </rPr>
      <t xml:space="preserve"> </t>
    </r>
    <r>
      <rPr>
        <b/>
        <sz val="10"/>
        <color indexed="27"/>
        <rFont val="Verdana"/>
        <family val="2"/>
      </rPr>
      <t>Contract Quantity</t>
    </r>
  </si>
  <si>
    <r>
      <t xml:space="preserve">Injection
</t>
    </r>
    <r>
      <rPr>
        <b/>
        <sz val="10"/>
        <color indexed="27"/>
        <rFont val="Verdana"/>
        <family val="2"/>
      </rPr>
      <t>Contract Quantity</t>
    </r>
    <r>
      <rPr>
        <b/>
        <sz val="10"/>
        <color indexed="63"/>
        <rFont val="Verdana"/>
        <family val="2"/>
      </rPr>
      <t xml:space="preserve"> </t>
    </r>
    <r>
      <rPr>
        <sz val="10"/>
        <color indexed="63"/>
        <rFont val="Verdana"/>
        <family val="2"/>
      </rPr>
      <t>exceeds</t>
    </r>
    <r>
      <rPr>
        <b/>
        <sz val="10"/>
        <color indexed="63"/>
        <rFont val="Verdana"/>
        <family val="2"/>
      </rPr>
      <t xml:space="preserve"> </t>
    </r>
    <r>
      <rPr>
        <b/>
        <sz val="10"/>
        <color indexed="26"/>
        <rFont val="Verdana"/>
        <family val="2"/>
      </rPr>
      <t>Delivered Quantity</t>
    </r>
  </si>
  <si>
    <r>
      <t xml:space="preserve">Injection
</t>
    </r>
    <r>
      <rPr>
        <b/>
        <sz val="10"/>
        <color indexed="26"/>
        <rFont val="Verdana"/>
        <family val="2"/>
      </rPr>
      <t>Delivered Quantity</t>
    </r>
    <r>
      <rPr>
        <b/>
        <sz val="10"/>
        <color indexed="63"/>
        <rFont val="Verdana"/>
        <family val="2"/>
      </rPr>
      <t xml:space="preserve"> </t>
    </r>
    <r>
      <rPr>
        <sz val="10"/>
        <color indexed="63"/>
        <rFont val="Verdana"/>
        <family val="2"/>
      </rPr>
      <t>exceeds</t>
    </r>
    <r>
      <rPr>
        <b/>
        <sz val="10"/>
        <color indexed="27"/>
        <rFont val="Verdana"/>
        <family val="2"/>
      </rPr>
      <t xml:space="preserve"> Contract Quantity</t>
    </r>
  </si>
  <si>
    <t>FSD Withdrawal</t>
  </si>
  <si>
    <t>FSD Injection</t>
  </si>
  <si>
    <t>FSD Mandatory Withdrawal</t>
  </si>
  <si>
    <t>- BGS shall pay the customer the Default Quantity times the Buy Price
- the Contract Quantity (negative) will be added to the Customers Gas-In-Storage</t>
  </si>
  <si>
    <t>- BGS shall pay the Customer the the Default Quantity times the Sell price
- the Contract Quantity (negative) will be added to the Customers Gas-In-Storage</t>
  </si>
  <si>
    <t>- the customer shall pay BGS The Default Quantity times the Buy Price
- the Contract Quantity (negative) will be added to the Customers Gas-In-Storage</t>
  </si>
  <si>
    <t>- the customer shall pay to BGS the Default Quantity times the Sell price
- the Contract Quantity (negative) will be added to the Customers Gas-In-Storage</t>
  </si>
  <si>
    <t>- the Customer shall pay BGS the Default Quantity times the Sell Price
- the Contract Quantity (positive) will be added to the Customers Gas-In-Storage</t>
  </si>
  <si>
    <t>- the customer shall pay BGS the Default Quantity times the Buy Price
- the Contract Quantity (positive) will be added to the Customers Gas-In-Storage</t>
  </si>
  <si>
    <t>- BGS shall pay the Customer the Default Quantity times the Buy price
- the Contract Quantity (positive) will be added to the Customers Gas-In-Storage</t>
  </si>
  <si>
    <t>- BGS shall pay the Customer the Default Quantity times the Sell price
- the Contract Quantity (positive) will be added to the Customers Gas-In-Storage</t>
  </si>
  <si>
    <t>zero flow then  1</t>
  </si>
  <si>
    <t>wrong sheet then 0</t>
  </si>
  <si>
    <t>Total Confirmed</t>
  </si>
  <si>
    <t>Firm Contract Quantity</t>
  </si>
  <si>
    <t>Forward Int Primary Contract quantity (1st round)</t>
  </si>
  <si>
    <t>Forward Int Primary Contract Quantity (2nd round)</t>
  </si>
  <si>
    <t>Forward Interruptible Secondary Contract Quantity</t>
  </si>
  <si>
    <t>Total Contract Quantity</t>
  </si>
  <si>
    <t>Injection Interruptible Contract Quantity</t>
  </si>
  <si>
    <t>Withdrawal Int Primary Contract Quantity (1st round)</t>
  </si>
  <si>
    <t>Withdrawal Int Primary Contract Quantity (2nd round)</t>
  </si>
  <si>
    <t>Withdrawal Int Secondary Contract Quantity</t>
  </si>
  <si>
    <t>Withdrawal Interruptible Contract Quantity</t>
  </si>
  <si>
    <t>Injection Int Primary Contract Quantity (1st round)</t>
  </si>
  <si>
    <t>Injection Int Primary Contract Quantity (2nd round)</t>
  </si>
  <si>
    <t>Injection Int Secondary Contract Quantity</t>
  </si>
  <si>
    <t>Interruptible Withdrawal Contract Quantity</t>
  </si>
  <si>
    <t>Reverse Interruptible Part of Request</t>
  </si>
  <si>
    <t>Reverse Interruptible Contract Quantity</t>
  </si>
  <si>
    <t>D-1 06-07</t>
  </si>
  <si>
    <t>D 06-07</t>
  </si>
  <si>
    <t>*  based on (at applicable point in time) D 06-07 values for Gas In Storage and on Registered Space and Capacities at D</t>
  </si>
  <si>
    <t>FSC with more Mand. With. scheduled than needed</t>
  </si>
  <si>
    <t>Gas-In-Storage (D 06-07)</t>
  </si>
  <si>
    <t>Gas-In-Storage (D 07-08)</t>
  </si>
  <si>
    <t>Spread (euro/MWh)</t>
  </si>
  <si>
    <t>Primary Injection Capacity (kWh/h)</t>
  </si>
  <si>
    <t>Primary Withdrawal Capacity (kWh/h)</t>
  </si>
  <si>
    <t>Primary Space (kWh)</t>
  </si>
  <si>
    <t>Registered Withdrawal Capacity (kWh/h)</t>
  </si>
  <si>
    <t>Injection Force Majeure Factor</t>
  </si>
  <si>
    <t>Point in time when system processes the Requests</t>
  </si>
  <si>
    <t>hh:mm</t>
  </si>
  <si>
    <t xml:space="preserve"> + 0.245 * (Registered Space (D) - Gas-In-Storage (D 06-07)) / Registered Space (D)</t>
  </si>
  <si>
    <t>Contract Quantity</t>
  </si>
  <si>
    <t>Gas In Storage (kWh)</t>
  </si>
  <si>
    <t>Gas-In-Storage (D 08-09)</t>
  </si>
  <si>
    <t>The Initial WGB transfer</t>
  </si>
  <si>
    <t>Date of WGB transfer and Payment</t>
  </si>
  <si>
    <t>Volume agreed between Bank and Customer; to match Endex hedging volume</t>
  </si>
  <si>
    <t>Start date of Registered Withdrawal capacity, can match the Endex hedging period</t>
  </si>
  <si>
    <t>End date of the Registered Withdrawal capacity, can match the Endex hedging period</t>
  </si>
  <si>
    <t xml:space="preserve">Date of WGB transfer </t>
  </si>
  <si>
    <t>Equals the end date of Registered Withdrawal capacity</t>
  </si>
  <si>
    <t>Calculated (= double the baseload capacity over the withdrawal period)</t>
  </si>
  <si>
    <t>Endex Future</t>
  </si>
  <si>
    <t>Needs not to be notified, is between Customer and Bank to decide if hedging is done</t>
  </si>
  <si>
    <t>Taken from the notification</t>
  </si>
  <si>
    <t>Taken from the Endex Market for the Withdrawal Period on the Date of the WGB Transfer, or as agreed between Bank and Customer</t>
  </si>
  <si>
    <t>Assuming the Customer and Bank agree to hedge with a future and Bank passes these costs on to the Customer</t>
  </si>
  <si>
    <t>As published by GSB for the storage year</t>
  </si>
  <si>
    <t>To be agreed between Bank and Customer</t>
  </si>
  <si>
    <t>Market rate at that time</t>
  </si>
  <si>
    <t>Based on Financing, Euribor rates, Tenor and value of the gas</t>
  </si>
  <si>
    <t>The WGB Reverse</t>
  </si>
  <si>
    <t>Buy Back date</t>
  </si>
  <si>
    <t>Date WGB Reverse</t>
  </si>
  <si>
    <t>Notification Date</t>
  </si>
  <si>
    <t>End Date Withdrawal Period</t>
  </si>
  <si>
    <t>Start Date Withdrawal Period</t>
  </si>
  <si>
    <t>Withdrawal Capacity (MWh/h)</t>
  </si>
  <si>
    <t>Start Date Transfer</t>
  </si>
  <si>
    <t>End Date Transfer</t>
  </si>
  <si>
    <t>Volume Future (MWh)</t>
  </si>
  <si>
    <t>Closing Price (€/MWh)</t>
  </si>
  <si>
    <t>Endex &amp; other costs (€/MWh)</t>
  </si>
  <si>
    <t>Reservation for withdrawal costs (€/MWh)</t>
  </si>
  <si>
    <t>Financing costs (bp)</t>
  </si>
  <si>
    <t>Euribor Rate (bp)</t>
  </si>
  <si>
    <t>Financing costs (€/MWh)</t>
  </si>
  <si>
    <t>Value of the Gas (€)</t>
  </si>
  <si>
    <t>Reservation withdrawal costs (€)</t>
  </si>
  <si>
    <t>Endex costs (€)</t>
  </si>
  <si>
    <t>Financing costs (€)</t>
  </si>
  <si>
    <t>Value of Gas paid by Bank to Customer (€)</t>
  </si>
  <si>
    <t>Value Gas-In-Storage (€)</t>
  </si>
  <si>
    <t>Calculation of the Value of the Gas-In-Storage to be paid by Bank to Customer</t>
  </si>
  <si>
    <t>Gas-In-Storage (MWh)</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</si>
</sst>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 #,##0.00_-;_-* &quot;-&quot;??_-;_-@_-"/>
    <numFmt numFmtId="164" formatCode="_ * #,##0.00_ ;_ * \-#,##0.00_ ;_ * &quot;-&quot;??_ ;_ @_ "/>
    <numFmt numFmtId="165" formatCode="_-* #,##0_-;_-* #,##0\-;_-* &quot;-&quot;_-;_-@_-"/>
    <numFmt numFmtId="166" formatCode="_-* #,##0.00_-;_-* #,##0.00\-;_-* &quot;-&quot;??_-;_-@_-"/>
    <numFmt numFmtId="167" formatCode="0.000"/>
    <numFmt numFmtId="168" formatCode="#,##0.0"/>
    <numFmt numFmtId="169" formatCode="#,##0.0_);\(#,##0.0\);&quot;-&quot;_);@_)"/>
    <numFmt numFmtId="170" formatCode="_ * #,##0_ ;_ * \-#,##0_ ;_ * &quot;-&quot;??_ ;_ @_ "/>
    <numFmt numFmtId="171" formatCode="_-&quot;€&quot;* #,##0.00_-;\-&quot;€&quot;* #,##0.00_-;_-&quot;€&quot;* &quot;-&quot;??_-;_-@_-"/>
    <numFmt numFmtId="172" formatCode="_([$€]* #,##0.00_);_([$€]* \(#,##0.00\);_([$€]* &quot;-&quot;??_);_(@_)"/>
    <numFmt numFmtId="173" formatCode="General_)"/>
    <numFmt numFmtId="174" formatCode="_-&quot;€&quot;* #,##0_-;\-&quot;€&quot;* #,##0_-;_-&quot;€&quot;* &quot;-&quot;_-;_-@_-"/>
    <numFmt numFmtId="175" formatCode="dd/mmm/yyyy"/>
    <numFmt numFmtId="176" formatCode="_ * #,##0.000_ ;_ * \-#,##0.000_ ;_ * &quot;-&quot;??_ ;_ @_ "/>
  </numFmts>
  <fonts count="72">
    <font>
      <sz val="10"/>
      <name val="Arial"/>
    </font>
    <font>
      <sz val="11"/>
      <color theme="1"/>
      <name val="Calibri"/>
      <family val="2"/>
      <scheme val="minor"/>
    </font>
    <font>
      <sz val="10"/>
      <name val="Arial"/>
    </font>
    <font>
      <sz val="10"/>
      <name val="Verdana"/>
      <family val="2"/>
    </font>
    <font>
      <b/>
      <sz val="10"/>
      <name val="Verdana"/>
      <family val="2"/>
    </font>
    <font>
      <b/>
      <sz val="12"/>
      <name val="Verdana"/>
      <family val="2"/>
    </font>
    <font>
      <sz val="10"/>
      <color indexed="9"/>
      <name val="Verdana"/>
      <family val="2"/>
    </font>
    <font>
      <b/>
      <sz val="10"/>
      <color indexed="9"/>
      <name val="Verdana"/>
      <family val="2"/>
    </font>
    <font>
      <b/>
      <sz val="8"/>
      <name val="Verdana"/>
      <family val="2"/>
    </font>
    <font>
      <sz val="8"/>
      <name val="Arial"/>
      <family val="2"/>
    </font>
    <font>
      <sz val="8"/>
      <name val="Verdana"/>
      <family val="2"/>
    </font>
    <font>
      <sz val="8"/>
      <color indexed="18"/>
      <name val="Verdana"/>
      <family val="2"/>
    </font>
    <font>
      <b/>
      <sz val="10"/>
      <color indexed="18"/>
      <name val="Verdana"/>
      <family val="2"/>
    </font>
    <font>
      <b/>
      <sz val="8"/>
      <color indexed="18"/>
      <name val="Verdana"/>
      <family val="2"/>
    </font>
    <font>
      <sz val="10"/>
      <color indexed="63"/>
      <name val="Verdana"/>
      <family val="2"/>
    </font>
    <font>
      <b/>
      <sz val="10"/>
      <color indexed="63"/>
      <name val="Verdana"/>
      <family val="2"/>
    </font>
    <font>
      <b/>
      <sz val="8"/>
      <color indexed="63"/>
      <name val="Verdana"/>
      <family val="2"/>
    </font>
    <font>
      <b/>
      <sz val="12"/>
      <color indexed="63"/>
      <name val="Verdana"/>
      <family val="2"/>
    </font>
    <font>
      <b/>
      <sz val="9"/>
      <color indexed="24"/>
      <name val="Verdana"/>
      <family val="2"/>
    </font>
    <font>
      <sz val="8"/>
      <color indexed="63"/>
      <name val="Verdana"/>
      <family val="2"/>
    </font>
    <font>
      <b/>
      <sz val="10"/>
      <color indexed="24"/>
      <name val="Verdana"/>
      <family val="2"/>
    </font>
    <font>
      <b/>
      <sz val="8"/>
      <color indexed="24"/>
      <name val="Verdana"/>
      <family val="2"/>
    </font>
    <font>
      <sz val="10"/>
      <color indexed="24"/>
      <name val="Verdana"/>
      <family val="2"/>
    </font>
    <font>
      <sz val="8"/>
      <color indexed="24"/>
      <name val="Verdana"/>
      <family val="2"/>
    </font>
    <font>
      <sz val="8"/>
      <color indexed="9"/>
      <name val="Verdana"/>
      <family val="2"/>
    </font>
    <font>
      <b/>
      <sz val="10"/>
      <color indexed="26"/>
      <name val="Verdana"/>
      <family val="2"/>
    </font>
    <font>
      <sz val="10"/>
      <color indexed="26"/>
      <name val="Verdana"/>
      <family val="2"/>
    </font>
    <font>
      <b/>
      <sz val="8"/>
      <color indexed="26"/>
      <name val="Verdana"/>
      <family val="2"/>
    </font>
    <font>
      <b/>
      <u/>
      <sz val="8"/>
      <name val="Verdana"/>
      <family val="2"/>
    </font>
    <font>
      <b/>
      <sz val="8"/>
      <color indexed="27"/>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8"/>
      <color indexed="18"/>
      <name val="Arial"/>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sz val="8"/>
      <name val="Arial"/>
      <family val="2"/>
    </font>
    <font>
      <b/>
      <sz val="11"/>
      <color indexed="63"/>
      <name val="Calibri"/>
      <family val="2"/>
    </font>
    <font>
      <sz val="10"/>
      <name val="Times New Roman"/>
      <family val="1"/>
    </font>
    <font>
      <sz val="10"/>
      <name val="Helv"/>
      <charset val="204"/>
    </font>
    <font>
      <b/>
      <sz val="18"/>
      <color indexed="62"/>
      <name val="Cambria"/>
      <family val="2"/>
    </font>
    <font>
      <b/>
      <sz val="11"/>
      <color indexed="8"/>
      <name val="Calibri"/>
      <family val="2"/>
    </font>
    <font>
      <sz val="11"/>
      <color indexed="10"/>
      <name val="Calibri"/>
      <family val="2"/>
    </font>
    <font>
      <b/>
      <sz val="8"/>
      <name val="Arial"/>
      <family val="2"/>
    </font>
    <font>
      <sz val="22"/>
      <name val="Arial"/>
      <family val="2"/>
    </font>
    <font>
      <sz val="10"/>
      <color indexed="18"/>
      <name val="Verdana"/>
      <family val="2"/>
    </font>
    <font>
      <b/>
      <sz val="8"/>
      <color indexed="9"/>
      <name val="Verdana"/>
      <family val="2"/>
    </font>
    <font>
      <b/>
      <sz val="10"/>
      <color indexed="27"/>
      <name val="Verdana"/>
      <family val="2"/>
    </font>
    <font>
      <b/>
      <u/>
      <sz val="10"/>
      <name val="Verdana"/>
      <family val="2"/>
    </font>
    <font>
      <b/>
      <sz val="8"/>
      <color indexed="9"/>
      <name val="Arial"/>
      <family val="2"/>
    </font>
    <font>
      <b/>
      <sz val="10"/>
      <color indexed="10"/>
      <name val="Verdana"/>
      <family val="2"/>
    </font>
    <font>
      <sz val="10"/>
      <color indexed="10"/>
      <name val="Verdana"/>
      <family val="2"/>
    </font>
    <font>
      <sz val="10"/>
      <color theme="0"/>
      <name val="Verdana"/>
      <family val="2"/>
    </font>
    <font>
      <sz val="14"/>
      <color theme="5"/>
      <name val="Arial"/>
      <family val="2"/>
    </font>
    <font>
      <sz val="11"/>
      <name val="Arial"/>
      <family val="2"/>
    </font>
    <font>
      <sz val="10"/>
      <name val="MS Sans Serif"/>
      <family val="2"/>
    </font>
    <font>
      <b/>
      <sz val="12"/>
      <name val="Arial"/>
      <family val="2"/>
    </font>
    <font>
      <b/>
      <sz val="15"/>
      <color indexed="56"/>
      <name val="Calibri"/>
      <family val="2"/>
    </font>
    <font>
      <b/>
      <sz val="13"/>
      <color indexed="56"/>
      <name val="Calibri"/>
      <family val="2"/>
    </font>
    <font>
      <b/>
      <sz val="11"/>
      <color indexed="56"/>
      <name val="Calibri"/>
      <family val="2"/>
    </font>
    <font>
      <sz val="8"/>
      <color indexed="8"/>
      <name val="Times New Roman"/>
      <family val="1"/>
    </font>
    <font>
      <sz val="10"/>
      <color indexed="55"/>
      <name val="Arial"/>
      <family val="2"/>
    </font>
    <font>
      <b/>
      <sz val="18"/>
      <color indexed="56"/>
      <name val="Cambria"/>
      <family val="2"/>
    </font>
  </fonts>
  <fills count="50">
    <fill>
      <patternFill patternType="none"/>
    </fill>
    <fill>
      <patternFill patternType="gray125"/>
    </fill>
    <fill>
      <patternFill patternType="solid">
        <fgColor indexed="39"/>
      </patternFill>
    </fill>
    <fill>
      <patternFill patternType="solid">
        <fgColor indexed="19"/>
      </patternFill>
    </fill>
    <fill>
      <patternFill patternType="solid">
        <fgColor indexed="46"/>
      </patternFill>
    </fill>
    <fill>
      <patternFill patternType="solid">
        <fgColor indexed="26"/>
      </patternFill>
    </fill>
    <fill>
      <patternFill patternType="solid">
        <fgColor indexed="22"/>
      </patternFill>
    </fill>
    <fill>
      <patternFill patternType="solid">
        <fgColor indexed="43"/>
      </patternFill>
    </fill>
    <fill>
      <patternFill patternType="solid">
        <fgColor indexed="31"/>
      </patternFill>
    </fill>
    <fill>
      <patternFill patternType="solid">
        <fgColor indexed="38"/>
      </patternFill>
    </fill>
    <fill>
      <patternFill patternType="solid">
        <fgColor indexed="49"/>
      </patternFill>
    </fill>
    <fill>
      <patternFill patternType="solid">
        <fgColor indexed="36"/>
      </patternFill>
    </fill>
    <fill>
      <patternFill patternType="solid">
        <fgColor indexed="47"/>
      </patternFill>
    </fill>
    <fill>
      <patternFill patternType="solid">
        <fgColor indexed="54"/>
      </patternFill>
    </fill>
    <fill>
      <patternFill patternType="solid">
        <fgColor indexed="45"/>
      </patternFill>
    </fill>
    <fill>
      <patternFill patternType="solid">
        <fgColor indexed="27"/>
      </patternFill>
    </fill>
    <fill>
      <patternFill patternType="solid">
        <fgColor indexed="55"/>
      </patternFill>
    </fill>
    <fill>
      <patternFill patternType="solid">
        <fgColor indexed="37"/>
      </patternFill>
    </fill>
    <fill>
      <patternFill patternType="gray125">
        <fgColor indexed="26"/>
        <bgColor indexed="9"/>
      </patternFill>
    </fill>
    <fill>
      <patternFill patternType="solid">
        <fgColor indexed="9"/>
        <bgColor indexed="64"/>
      </patternFill>
    </fill>
    <fill>
      <patternFill patternType="solid">
        <fgColor indexed="24"/>
        <bgColor indexed="64"/>
      </patternFill>
    </fill>
    <fill>
      <patternFill patternType="solid">
        <fgColor indexed="25"/>
        <bgColor indexed="64"/>
      </patternFill>
    </fill>
    <fill>
      <patternFill patternType="solid">
        <fgColor indexed="44"/>
        <bgColor indexed="64"/>
      </patternFill>
    </fill>
    <fill>
      <patternFill patternType="solid">
        <fgColor indexed="26"/>
        <bgColor indexed="64"/>
      </patternFill>
    </fill>
    <fill>
      <patternFill patternType="solid">
        <fgColor indexed="23"/>
        <bgColor indexed="64"/>
      </patternFill>
    </fill>
    <fill>
      <patternFill patternType="solid">
        <fgColor indexed="22"/>
        <bgColor indexed="64"/>
      </patternFill>
    </fill>
    <fill>
      <patternFill patternType="solid">
        <fgColor indexed="55"/>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48"/>
        <bgColor indexed="64"/>
      </patternFill>
    </fill>
    <fill>
      <patternFill patternType="solid">
        <fgColor indexed="18"/>
        <bgColor indexed="64"/>
      </patternFill>
    </fill>
    <fill>
      <patternFill patternType="solid">
        <fgColor indexed="63"/>
        <bgColor indexed="64"/>
      </patternFill>
    </fill>
    <fill>
      <patternFill patternType="solid">
        <fgColor indexed="27"/>
        <bgColor indexed="64"/>
      </patternFill>
    </fill>
    <fill>
      <patternFill patternType="solid">
        <fgColor theme="0"/>
        <bgColor indexed="64"/>
      </patternFill>
    </fill>
    <fill>
      <patternFill patternType="solid">
        <fgColor indexed="4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gray0625"/>
    </fill>
    <fill>
      <patternFill patternType="solid">
        <fgColor indexed="27"/>
        <bgColor indexed="41"/>
      </patternFill>
    </fill>
    <fill>
      <patternFill patternType="solid">
        <fgColor indexed="9"/>
      </patternFill>
    </fill>
    <fill>
      <patternFill patternType="solid">
        <fgColor theme="0" tint="-0.249977111117893"/>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9"/>
      </bottom>
      <diagonal/>
    </border>
    <border>
      <left/>
      <right/>
      <top/>
      <bottom style="medium">
        <color indexed="31"/>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top style="double">
        <color indexed="64"/>
      </top>
      <bottom/>
      <diagonal/>
    </border>
    <border>
      <left style="double">
        <color indexed="64"/>
      </left>
      <right style="double">
        <color indexed="64"/>
      </right>
      <top style="double">
        <color indexed="64"/>
      </top>
      <bottom style="double">
        <color indexed="64"/>
      </bottom>
      <diagonal/>
    </border>
    <border>
      <left style="thin">
        <color indexed="55"/>
      </left>
      <right style="thin">
        <color indexed="55"/>
      </right>
      <top style="thin">
        <color indexed="55"/>
      </top>
      <bottom style="thin">
        <color indexed="55"/>
      </bottom>
      <diagonal/>
    </border>
    <border>
      <left/>
      <right/>
      <top style="thin">
        <color indexed="62"/>
      </top>
      <bottom style="double">
        <color indexed="62"/>
      </bottom>
      <diagonal/>
    </border>
    <border>
      <left style="thin">
        <color indexed="64"/>
      </left>
      <right style="thin">
        <color indexed="64"/>
      </right>
      <top/>
      <bottom style="medium">
        <color indexed="64"/>
      </bottom>
      <diagonal/>
    </border>
  </borders>
  <cellStyleXfs count="157">
    <xf numFmtId="0" fontId="0" fillId="0" borderId="0"/>
    <xf numFmtId="0" fontId="2" fillId="0" borderId="0"/>
    <xf numFmtId="0" fontId="31" fillId="2"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2" borderId="0" applyNumberFormat="0" applyBorder="0" applyAlignment="0" applyProtection="0"/>
    <xf numFmtId="0" fontId="31" fillId="5" borderId="0" applyNumberFormat="0" applyBorder="0" applyAlignment="0" applyProtection="0"/>
    <xf numFmtId="0" fontId="31" fillId="2"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2" borderId="0" applyNumberFormat="0" applyBorder="0" applyAlignment="0" applyProtection="0"/>
    <xf numFmtId="0" fontId="31" fillId="5" borderId="0" applyNumberFormat="0" applyBorder="0" applyAlignment="0" applyProtection="0"/>
    <xf numFmtId="0" fontId="31" fillId="2"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6" borderId="0" applyNumberFormat="0" applyBorder="0" applyAlignment="0" applyProtection="0"/>
    <xf numFmtId="0" fontId="31" fillId="2" borderId="0" applyNumberFormat="0" applyBorder="0" applyAlignment="0" applyProtection="0"/>
    <xf numFmtId="0" fontId="31" fillId="7" borderId="0" applyNumberFormat="0" applyBorder="0" applyAlignment="0" applyProtection="0"/>
    <xf numFmtId="0" fontId="31" fillId="2"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6" borderId="0" applyNumberFormat="0" applyBorder="0" applyAlignment="0" applyProtection="0"/>
    <xf numFmtId="0" fontId="31" fillId="2" borderId="0" applyNumberFormat="0" applyBorder="0" applyAlignment="0" applyProtection="0"/>
    <xf numFmtId="0" fontId="31" fillId="7" borderId="0" applyNumberFormat="0" applyBorder="0" applyAlignment="0" applyProtection="0"/>
    <xf numFmtId="0" fontId="32" fillId="8"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6"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8"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6"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0" borderId="0" applyNumberFormat="0" applyBorder="0" applyAlignment="0" applyProtection="0"/>
    <xf numFmtId="0" fontId="32" fillId="9" borderId="0" applyNumberFormat="0" applyBorder="0" applyAlignment="0" applyProtection="0"/>
    <xf numFmtId="0" fontId="33" fillId="14" borderId="0" applyNumberFormat="0" applyBorder="0" applyAlignment="0" applyProtection="0"/>
    <xf numFmtId="0" fontId="34" fillId="15" borderId="1" applyNumberFormat="0" applyAlignment="0" applyProtection="0"/>
    <xf numFmtId="0" fontId="34" fillId="15" borderId="1" applyNumberFormat="0" applyAlignment="0" applyProtection="0"/>
    <xf numFmtId="0" fontId="35" fillId="16" borderId="2" applyNumberFormat="0" applyAlignment="0" applyProtection="0"/>
    <xf numFmtId="43" fontId="30" fillId="0" borderId="0" applyFont="0" applyFill="0" applyBorder="0" applyAlignment="0" applyProtection="0"/>
    <xf numFmtId="0" fontId="33" fillId="14" borderId="0" applyNumberFormat="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9" fillId="0" borderId="3" applyNumberFormat="0" applyFill="0" applyAlignment="0" applyProtection="0"/>
    <xf numFmtId="0" fontId="40" fillId="0" borderId="4" applyNumberFormat="0" applyFill="0" applyAlignment="0" applyProtection="0"/>
    <xf numFmtId="0" fontId="41" fillId="0" borderId="5" applyNumberFormat="0" applyFill="0" applyAlignment="0" applyProtection="0"/>
    <xf numFmtId="0" fontId="41" fillId="0" borderId="0" applyNumberFormat="0" applyFill="0" applyBorder="0" applyAlignment="0" applyProtection="0"/>
    <xf numFmtId="0" fontId="42" fillId="7" borderId="1" applyNumberFormat="0" applyAlignment="0" applyProtection="0"/>
    <xf numFmtId="0" fontId="30" fillId="18" borderId="6" applyNumberFormat="0" applyFont="0" applyAlignment="0">
      <protection locked="0"/>
    </xf>
    <xf numFmtId="0" fontId="43" fillId="0" borderId="7" applyNumberFormat="0" applyFill="0" applyAlignment="0" applyProtection="0"/>
    <xf numFmtId="165" fontId="2" fillId="0" borderId="0" applyFont="0" applyFill="0" applyBorder="0" applyAlignment="0" applyProtection="0"/>
    <xf numFmtId="166" fontId="2" fillId="0" borderId="0" applyFont="0" applyFill="0" applyBorder="0" applyAlignment="0" applyProtection="0"/>
    <xf numFmtId="0" fontId="35" fillId="16" borderId="2" applyNumberFormat="0" applyAlignment="0" applyProtection="0"/>
    <xf numFmtId="0" fontId="43" fillId="0" borderId="7" applyNumberFormat="0" applyFill="0" applyAlignment="0" applyProtection="0"/>
    <xf numFmtId="0" fontId="30" fillId="5" borderId="8" applyNumberFormat="0" applyFont="0" applyAlignment="0" applyProtection="0"/>
    <xf numFmtId="0" fontId="44" fillId="7" borderId="0" applyNumberFormat="0" applyBorder="0" applyAlignment="0" applyProtection="0"/>
    <xf numFmtId="169" fontId="45" fillId="0" borderId="0" applyFont="0" applyFill="0" applyBorder="0" applyAlignment="0" applyProtection="0"/>
    <xf numFmtId="0" fontId="30" fillId="0" borderId="0"/>
    <xf numFmtId="0" fontId="30" fillId="5" borderId="8" applyNumberFormat="0" applyFont="0" applyAlignment="0" applyProtection="0"/>
    <xf numFmtId="0" fontId="44" fillId="7" borderId="0" applyNumberFormat="0" applyBorder="0" applyAlignment="0" applyProtection="0"/>
    <xf numFmtId="0" fontId="46" fillId="15" borderId="9" applyNumberFormat="0" applyAlignment="0" applyProtection="0"/>
    <xf numFmtId="0" fontId="39" fillId="0" borderId="3" applyNumberFormat="0" applyFill="0" applyAlignment="0" applyProtection="0"/>
    <xf numFmtId="0" fontId="40" fillId="0" borderId="4" applyNumberFormat="0" applyFill="0" applyAlignment="0" applyProtection="0"/>
    <xf numFmtId="0" fontId="41" fillId="0" borderId="5" applyNumberFormat="0" applyFill="0" applyAlignment="0" applyProtection="0"/>
    <xf numFmtId="0" fontId="41" fillId="0" borderId="0" applyNumberFormat="0" applyFill="0" applyBorder="0" applyAlignment="0" applyProtection="0"/>
    <xf numFmtId="2" fontId="30" fillId="0" borderId="6" applyNumberFormat="0" applyFont="0" applyAlignment="0"/>
    <xf numFmtId="0" fontId="48" fillId="0" borderId="0"/>
    <xf numFmtId="0" fontId="49" fillId="0" borderId="0" applyNumberFormat="0" applyFill="0" applyBorder="0" applyAlignment="0" applyProtection="0"/>
    <xf numFmtId="0" fontId="49" fillId="0" borderId="0" applyNumberFormat="0" applyFill="0" applyBorder="0" applyAlignment="0" applyProtection="0"/>
    <xf numFmtId="0" fontId="50" fillId="0" borderId="10" applyNumberFormat="0" applyFill="0" applyAlignment="0" applyProtection="0"/>
    <xf numFmtId="0" fontId="50" fillId="0" borderId="10" applyNumberFormat="0" applyFill="0" applyAlignment="0" applyProtection="0"/>
    <xf numFmtId="0" fontId="46" fillId="15" borderId="9" applyNumberFormat="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0" borderId="0" applyNumberFormat="0" applyBorder="0" applyAlignment="0" applyProtection="0"/>
    <xf numFmtId="0" fontId="32" fillId="9"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xf numFmtId="0" fontId="48" fillId="0" borderId="0"/>
    <xf numFmtId="0" fontId="31" fillId="8" borderId="0" applyNumberFormat="0" applyBorder="0" applyAlignment="0" applyProtection="0"/>
    <xf numFmtId="0" fontId="31" fillId="14" borderId="0" applyNumberFormat="0" applyBorder="0" applyAlignment="0" applyProtection="0"/>
    <xf numFmtId="0" fontId="31" fillId="35" borderId="0" applyNumberFormat="0" applyBorder="0" applyAlignment="0" applyProtection="0"/>
    <xf numFmtId="0" fontId="31" fillId="4" borderId="0" applyNumberFormat="0" applyBorder="0" applyAlignment="0" applyProtection="0"/>
    <xf numFmtId="0" fontId="31" fillId="15" borderId="0" applyNumberFormat="0" applyBorder="0" applyAlignment="0" applyProtection="0"/>
    <xf numFmtId="0" fontId="31" fillId="12"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4" borderId="0" applyNumberFormat="0" applyBorder="0" applyAlignment="0" applyProtection="0"/>
    <xf numFmtId="0" fontId="31" fillId="36" borderId="0" applyNumberFormat="0" applyBorder="0" applyAlignment="0" applyProtection="0"/>
    <xf numFmtId="0" fontId="31" fillId="39" borderId="0" applyNumberFormat="0" applyBorder="0" applyAlignment="0" applyProtection="0"/>
    <xf numFmtId="0" fontId="32" fillId="40"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11" borderId="0" applyNumberFormat="0" applyBorder="0" applyAlignment="0" applyProtection="0"/>
    <xf numFmtId="0" fontId="32" fillId="1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32" fillId="11" borderId="0" applyNumberFormat="0" applyBorder="0" applyAlignment="0" applyProtection="0"/>
    <xf numFmtId="0" fontId="32" fillId="10" borderId="0" applyNumberFormat="0" applyBorder="0" applyAlignment="0" applyProtection="0"/>
    <xf numFmtId="0" fontId="32" fillId="45" borderId="0" applyNumberFormat="0" applyBorder="0" applyAlignment="0" applyProtection="0"/>
    <xf numFmtId="0" fontId="33" fillId="14" borderId="0" applyNumberFormat="0" applyBorder="0" applyAlignment="0" applyProtection="0"/>
    <xf numFmtId="0" fontId="34" fillId="6" borderId="1" applyNumberFormat="0" applyAlignment="0" applyProtection="0"/>
    <xf numFmtId="0" fontId="35" fillId="16" borderId="2" applyNumberFormat="0" applyAlignment="0" applyProtection="0"/>
    <xf numFmtId="171" fontId="63" fillId="0" borderId="0" applyFont="0" applyFill="0" applyBorder="0" applyAlignment="0" applyProtection="0"/>
    <xf numFmtId="172" fontId="30" fillId="0" borderId="0" applyFont="0" applyFill="0" applyBorder="0" applyAlignment="0" applyProtection="0"/>
    <xf numFmtId="0" fontId="36" fillId="0" borderId="0" applyNumberFormat="0" applyFill="0" applyBorder="0" applyAlignment="0" applyProtection="0"/>
    <xf numFmtId="0" fontId="37" fillId="35" borderId="0" applyNumberFormat="0" applyBorder="0" applyAlignment="0" applyProtection="0"/>
    <xf numFmtId="0" fontId="38" fillId="0" borderId="0" applyFill="0"/>
    <xf numFmtId="0" fontId="64" fillId="0" borderId="0"/>
    <xf numFmtId="0" fontId="65" fillId="0" borderId="0"/>
    <xf numFmtId="0" fontId="66" fillId="0" borderId="35" applyNumberFormat="0" applyFill="0" applyAlignment="0" applyProtection="0"/>
    <xf numFmtId="0" fontId="67" fillId="0" borderId="36" applyNumberFormat="0" applyFill="0" applyAlignment="0" applyProtection="0"/>
    <xf numFmtId="0" fontId="68" fillId="0" borderId="37" applyNumberFormat="0" applyFill="0" applyAlignment="0" applyProtection="0"/>
    <xf numFmtId="0" fontId="68" fillId="0" borderId="0" applyNumberFormat="0" applyFill="0" applyBorder="0" applyAlignment="0" applyProtection="0"/>
    <xf numFmtId="0" fontId="42" fillId="12" borderId="1" applyNumberFormat="0" applyAlignment="0" applyProtection="0"/>
    <xf numFmtId="0" fontId="43" fillId="0" borderId="7" applyNumberFormat="0" applyFill="0" applyAlignment="0" applyProtection="0"/>
    <xf numFmtId="173" fontId="69" fillId="46" borderId="6"/>
    <xf numFmtId="0" fontId="30" fillId="47" borderId="0" applyNumberFormat="0" applyFont="0" applyBorder="0" applyAlignment="0" applyProtection="0"/>
    <xf numFmtId="0" fontId="44" fillId="7" borderId="0" applyNumberFormat="0" applyBorder="0" applyAlignment="0" applyProtection="0"/>
    <xf numFmtId="0" fontId="47" fillId="48" borderId="38" applyFont="0" applyBorder="0" applyAlignment="0"/>
    <xf numFmtId="169" fontId="9" fillId="0" borderId="0" applyFont="0" applyFill="0" applyBorder="0" applyAlignment="0" applyProtection="0"/>
    <xf numFmtId="0" fontId="30" fillId="5" borderId="8" applyNumberFormat="0" applyFont="0" applyAlignment="0" applyProtection="0"/>
    <xf numFmtId="0" fontId="46" fillId="6" borderId="9" applyNumberFormat="0" applyAlignment="0" applyProtection="0"/>
    <xf numFmtId="9" fontId="30" fillId="0" borderId="0" applyFont="0" applyFill="0" applyBorder="0" applyAlignment="0" applyProtection="0"/>
    <xf numFmtId="0" fontId="47" fillId="1" borderId="39" applyBorder="0" applyAlignment="0"/>
    <xf numFmtId="0" fontId="30" fillId="0" borderId="0"/>
    <xf numFmtId="0" fontId="30" fillId="0" borderId="0"/>
    <xf numFmtId="0" fontId="48" fillId="0" borderId="0"/>
    <xf numFmtId="0" fontId="48" fillId="0" borderId="0"/>
    <xf numFmtId="0" fontId="70" fillId="32" borderId="40" applyNumberFormat="0">
      <alignment horizontal="right"/>
    </xf>
    <xf numFmtId="0" fontId="71" fillId="0" borderId="0" applyNumberFormat="0" applyFill="0" applyBorder="0" applyAlignment="0" applyProtection="0"/>
    <xf numFmtId="0" fontId="50" fillId="0" borderId="41" applyNumberFormat="0" applyFill="0" applyAlignment="0" applyProtection="0"/>
    <xf numFmtId="0" fontId="70" fillId="0" borderId="0" applyNumberFormat="0"/>
    <xf numFmtId="174" fontId="30" fillId="0" borderId="0" applyFont="0" applyFill="0" applyBorder="0" applyAlignment="0" applyProtection="0"/>
    <xf numFmtId="171" fontId="30" fillId="0" borderId="0" applyFont="0" applyFill="0" applyBorder="0" applyAlignment="0" applyProtection="0"/>
    <xf numFmtId="0" fontId="51" fillId="0" borderId="0" applyNumberFormat="0" applyFill="0" applyBorder="0" applyAlignment="0" applyProtection="0"/>
    <xf numFmtId="0" fontId="30" fillId="0" borderId="0"/>
  </cellStyleXfs>
  <cellXfs count="273">
    <xf numFmtId="0" fontId="0" fillId="0" borderId="0" xfId="0"/>
    <xf numFmtId="0" fontId="3" fillId="19" borderId="0" xfId="0" applyFont="1" applyFill="1"/>
    <xf numFmtId="3" fontId="3" fillId="19" borderId="0" xfId="0" applyNumberFormat="1" applyFont="1" applyFill="1"/>
    <xf numFmtId="0" fontId="5" fillId="19" borderId="0" xfId="0" applyFont="1" applyFill="1"/>
    <xf numFmtId="0" fontId="6" fillId="19" borderId="0" xfId="0" applyFont="1" applyFill="1" applyBorder="1" applyAlignment="1">
      <alignment horizontal="center"/>
    </xf>
    <xf numFmtId="3" fontId="3" fillId="19" borderId="6" xfId="0" applyNumberFormat="1" applyFont="1" applyFill="1" applyBorder="1"/>
    <xf numFmtId="0" fontId="4" fillId="19" borderId="6" xfId="0" applyFont="1" applyFill="1" applyBorder="1" applyAlignment="1">
      <alignment horizontal="center"/>
    </xf>
    <xf numFmtId="3" fontId="10" fillId="19" borderId="6" xfId="0" applyNumberFormat="1" applyFont="1" applyFill="1" applyBorder="1"/>
    <xf numFmtId="0" fontId="3" fillId="19" borderId="0" xfId="0" applyFont="1" applyFill="1" applyBorder="1"/>
    <xf numFmtId="0" fontId="3" fillId="19" borderId="0" xfId="0" applyFont="1" applyFill="1" applyAlignment="1">
      <alignment horizontal="justify"/>
    </xf>
    <xf numFmtId="0" fontId="3" fillId="19" borderId="0" xfId="0" applyFont="1" applyFill="1" applyAlignment="1">
      <alignment horizontal="center"/>
    </xf>
    <xf numFmtId="0" fontId="0" fillId="19" borderId="0" xfId="0" applyFill="1"/>
    <xf numFmtId="0" fontId="3" fillId="20" borderId="11" xfId="0" applyFont="1" applyFill="1" applyBorder="1"/>
    <xf numFmtId="0" fontId="3" fillId="20" borderId="12" xfId="0" applyFont="1" applyFill="1" applyBorder="1"/>
    <xf numFmtId="0" fontId="3" fillId="20" borderId="13" xfId="0" applyFont="1" applyFill="1" applyBorder="1"/>
    <xf numFmtId="0" fontId="3" fillId="20" borderId="14" xfId="0" applyFont="1" applyFill="1" applyBorder="1"/>
    <xf numFmtId="0" fontId="3" fillId="20" borderId="0" xfId="0" applyFont="1" applyFill="1" applyBorder="1"/>
    <xf numFmtId="0" fontId="3" fillId="20" borderId="15" xfId="0" applyFont="1" applyFill="1" applyBorder="1"/>
    <xf numFmtId="0" fontId="3" fillId="20" borderId="16" xfId="0" applyFont="1" applyFill="1" applyBorder="1"/>
    <xf numFmtId="0" fontId="3" fillId="20" borderId="17" xfId="0" applyFont="1" applyFill="1" applyBorder="1"/>
    <xf numFmtId="0" fontId="3" fillId="20" borderId="18" xfId="0" applyFont="1" applyFill="1" applyBorder="1"/>
    <xf numFmtId="0" fontId="6" fillId="20" borderId="0" xfId="0" applyFont="1" applyFill="1" applyBorder="1"/>
    <xf numFmtId="3" fontId="6" fillId="20" borderId="0" xfId="0" applyNumberFormat="1" applyFont="1" applyFill="1" applyBorder="1"/>
    <xf numFmtId="0" fontId="3" fillId="20" borderId="0" xfId="0" applyFont="1" applyFill="1" applyBorder="1" applyAlignment="1">
      <alignment horizontal="center"/>
    </xf>
    <xf numFmtId="3" fontId="4" fillId="20" borderId="0" xfId="0" applyNumberFormat="1" applyFont="1" applyFill="1" applyBorder="1" applyAlignment="1">
      <alignment horizontal="center"/>
    </xf>
    <xf numFmtId="3" fontId="4" fillId="20" borderId="15" xfId="0" applyNumberFormat="1" applyFont="1" applyFill="1" applyBorder="1" applyAlignment="1">
      <alignment horizontal="center"/>
    </xf>
    <xf numFmtId="3" fontId="6" fillId="20" borderId="17" xfId="0" applyNumberFormat="1" applyFont="1" applyFill="1" applyBorder="1"/>
    <xf numFmtId="3" fontId="15" fillId="20" borderId="12" xfId="0" applyNumberFormat="1" applyFont="1" applyFill="1" applyBorder="1" applyAlignment="1">
      <alignment horizontal="center"/>
    </xf>
    <xf numFmtId="3" fontId="4" fillId="20" borderId="13" xfId="0" applyNumberFormat="1" applyFont="1" applyFill="1" applyBorder="1" applyAlignment="1">
      <alignment horizontal="center"/>
    </xf>
    <xf numFmtId="3" fontId="4" fillId="20" borderId="12" xfId="0" applyNumberFormat="1" applyFont="1" applyFill="1" applyBorder="1" applyAlignment="1">
      <alignment horizontal="center"/>
    </xf>
    <xf numFmtId="3" fontId="14" fillId="21" borderId="19" xfId="0" applyNumberFormat="1" applyFont="1" applyFill="1" applyBorder="1"/>
    <xf numFmtId="0" fontId="14" fillId="20" borderId="14" xfId="0" applyFont="1" applyFill="1" applyBorder="1"/>
    <xf numFmtId="0" fontId="14" fillId="20" borderId="0" xfId="0" applyFont="1" applyFill="1" applyBorder="1"/>
    <xf numFmtId="0" fontId="14" fillId="20" borderId="12" xfId="0" applyFont="1" applyFill="1" applyBorder="1"/>
    <xf numFmtId="0" fontId="14" fillId="20" borderId="13" xfId="0" applyFont="1" applyFill="1" applyBorder="1"/>
    <xf numFmtId="0" fontId="14" fillId="20" borderId="15" xfId="0" applyFont="1" applyFill="1" applyBorder="1"/>
    <xf numFmtId="0" fontId="14" fillId="20" borderId="16" xfId="0" applyFont="1" applyFill="1" applyBorder="1"/>
    <xf numFmtId="0" fontId="14" fillId="20" borderId="17" xfId="0" applyFont="1" applyFill="1" applyBorder="1"/>
    <xf numFmtId="0" fontId="14" fillId="20" borderId="18" xfId="0" applyFont="1" applyFill="1" applyBorder="1"/>
    <xf numFmtId="0" fontId="14" fillId="20" borderId="11" xfId="0" applyFont="1" applyFill="1" applyBorder="1"/>
    <xf numFmtId="3" fontId="14" fillId="20" borderId="18" xfId="0" applyNumberFormat="1" applyFont="1" applyFill="1" applyBorder="1"/>
    <xf numFmtId="0" fontId="15" fillId="20" borderId="11" xfId="0" applyFont="1" applyFill="1" applyBorder="1"/>
    <xf numFmtId="0" fontId="15" fillId="20" borderId="14" xfId="0" applyFont="1" applyFill="1" applyBorder="1"/>
    <xf numFmtId="3" fontId="15" fillId="20" borderId="0" xfId="0" applyNumberFormat="1" applyFont="1" applyFill="1" applyBorder="1" applyAlignment="1">
      <alignment horizontal="center"/>
    </xf>
    <xf numFmtId="3" fontId="15" fillId="20" borderId="13" xfId="0" applyNumberFormat="1" applyFont="1" applyFill="1" applyBorder="1" applyAlignment="1">
      <alignment horizontal="center"/>
    </xf>
    <xf numFmtId="167" fontId="14" fillId="20" borderId="17" xfId="0" applyNumberFormat="1" applyFont="1" applyFill="1" applyBorder="1"/>
    <xf numFmtId="3" fontId="15" fillId="20" borderId="15" xfId="0" applyNumberFormat="1" applyFont="1" applyFill="1" applyBorder="1" applyAlignment="1">
      <alignment horizontal="center"/>
    </xf>
    <xf numFmtId="0" fontId="17" fillId="19" borderId="0" xfId="0" applyFont="1" applyFill="1"/>
    <xf numFmtId="0" fontId="14" fillId="19" borderId="0" xfId="0" applyFont="1" applyFill="1"/>
    <xf numFmtId="167" fontId="3" fillId="20" borderId="0" xfId="0" applyNumberFormat="1" applyFont="1" applyFill="1" applyBorder="1"/>
    <xf numFmtId="0" fontId="4" fillId="20" borderId="0" xfId="0" applyFont="1" applyFill="1" applyBorder="1"/>
    <xf numFmtId="0" fontId="10" fillId="20" borderId="0" xfId="0" applyFont="1" applyFill="1" applyBorder="1"/>
    <xf numFmtId="3" fontId="11" fillId="20" borderId="15" xfId="0" applyNumberFormat="1" applyFont="1" applyFill="1" applyBorder="1" applyAlignment="1">
      <alignment horizontal="right"/>
    </xf>
    <xf numFmtId="0" fontId="11" fillId="20" borderId="15" xfId="0" applyFont="1" applyFill="1" applyBorder="1" applyAlignment="1">
      <alignment horizontal="right"/>
    </xf>
    <xf numFmtId="3" fontId="8" fillId="20" borderId="12" xfId="0" applyNumberFormat="1" applyFont="1" applyFill="1" applyBorder="1" applyAlignment="1">
      <alignment horizontal="center"/>
    </xf>
    <xf numFmtId="0" fontId="12" fillId="20" borderId="0" xfId="0" applyFont="1" applyFill="1" applyBorder="1"/>
    <xf numFmtId="0" fontId="18" fillId="20" borderId="0" xfId="0" applyFont="1" applyFill="1" applyBorder="1"/>
    <xf numFmtId="3" fontId="11" fillId="20" borderId="13" xfId="0" applyNumberFormat="1" applyFont="1" applyFill="1" applyBorder="1" applyAlignment="1">
      <alignment horizontal="center"/>
    </xf>
    <xf numFmtId="3" fontId="11" fillId="20" borderId="15" xfId="0" applyNumberFormat="1" applyFont="1" applyFill="1" applyBorder="1"/>
    <xf numFmtId="0" fontId="11" fillId="20" borderId="15" xfId="0" applyFont="1" applyFill="1" applyBorder="1"/>
    <xf numFmtId="167" fontId="11" fillId="20" borderId="15" xfId="0" applyNumberFormat="1" applyFont="1" applyFill="1" applyBorder="1"/>
    <xf numFmtId="0" fontId="11" fillId="20" borderId="18" xfId="0" applyFont="1" applyFill="1" applyBorder="1"/>
    <xf numFmtId="0" fontId="3" fillId="20" borderId="0" xfId="0" applyFont="1" applyFill="1"/>
    <xf numFmtId="3" fontId="16" fillId="20" borderId="12" xfId="0" applyNumberFormat="1" applyFont="1" applyFill="1" applyBorder="1" applyAlignment="1">
      <alignment horizontal="center"/>
    </xf>
    <xf numFmtId="167" fontId="14" fillId="20" borderId="0" xfId="0" applyNumberFormat="1" applyFont="1" applyFill="1" applyBorder="1"/>
    <xf numFmtId="0" fontId="15" fillId="20" borderId="0" xfId="0" applyFont="1" applyFill="1" applyBorder="1"/>
    <xf numFmtId="0" fontId="19" fillId="20" borderId="0" xfId="0" applyFont="1" applyFill="1" applyBorder="1"/>
    <xf numFmtId="0" fontId="15" fillId="19" borderId="6" xfId="0" applyFont="1" applyFill="1" applyBorder="1" applyAlignment="1">
      <alignment horizontal="center"/>
    </xf>
    <xf numFmtId="3" fontId="14" fillId="19" borderId="6" xfId="0" applyNumberFormat="1" applyFont="1" applyFill="1" applyBorder="1"/>
    <xf numFmtId="3" fontId="19" fillId="19" borderId="6" xfId="0" applyNumberFormat="1" applyFont="1" applyFill="1" applyBorder="1"/>
    <xf numFmtId="3" fontId="15" fillId="19" borderId="20" xfId="0" applyNumberFormat="1" applyFont="1" applyFill="1" applyBorder="1"/>
    <xf numFmtId="0" fontId="14" fillId="19" borderId="6" xfId="0" applyFont="1" applyFill="1" applyBorder="1"/>
    <xf numFmtId="0" fontId="19" fillId="19" borderId="6" xfId="0" applyFont="1" applyFill="1" applyBorder="1"/>
    <xf numFmtId="3" fontId="19" fillId="20" borderId="13" xfId="0" applyNumberFormat="1" applyFont="1" applyFill="1" applyBorder="1" applyAlignment="1">
      <alignment horizontal="center"/>
    </xf>
    <xf numFmtId="3" fontId="19" fillId="20" borderId="15" xfId="0" applyNumberFormat="1" applyFont="1" applyFill="1" applyBorder="1"/>
    <xf numFmtId="0" fontId="19" fillId="20" borderId="15" xfId="0" applyFont="1" applyFill="1" applyBorder="1"/>
    <xf numFmtId="167" fontId="19" fillId="20" borderId="15" xfId="0" applyNumberFormat="1" applyFont="1" applyFill="1" applyBorder="1"/>
    <xf numFmtId="3" fontId="19" fillId="20" borderId="15" xfId="0" applyNumberFormat="1" applyFont="1" applyFill="1" applyBorder="1" applyAlignment="1">
      <alignment horizontal="right"/>
    </xf>
    <xf numFmtId="0" fontId="19" fillId="20" borderId="15" xfId="0" applyFont="1" applyFill="1" applyBorder="1" applyAlignment="1">
      <alignment horizontal="right"/>
    </xf>
    <xf numFmtId="0" fontId="19" fillId="20" borderId="18" xfId="0" applyFont="1" applyFill="1" applyBorder="1"/>
    <xf numFmtId="3" fontId="16" fillId="20" borderId="13" xfId="0" applyNumberFormat="1" applyFont="1" applyFill="1" applyBorder="1" applyAlignment="1">
      <alignment horizontal="center"/>
    </xf>
    <xf numFmtId="3" fontId="14" fillId="20" borderId="15" xfId="0" applyNumberFormat="1" applyFont="1" applyFill="1" applyBorder="1"/>
    <xf numFmtId="167" fontId="14" fillId="20" borderId="15" xfId="0" applyNumberFormat="1" applyFont="1" applyFill="1" applyBorder="1"/>
    <xf numFmtId="0" fontId="20" fillId="20" borderId="0" xfId="0" applyFont="1" applyFill="1" applyBorder="1"/>
    <xf numFmtId="0" fontId="21" fillId="20" borderId="0" xfId="0" applyFont="1" applyFill="1" applyBorder="1"/>
    <xf numFmtId="0" fontId="22" fillId="20" borderId="0" xfId="0" applyFont="1" applyFill="1" applyBorder="1"/>
    <xf numFmtId="0" fontId="23" fillId="20" borderId="15" xfId="0" applyFont="1" applyFill="1" applyBorder="1"/>
    <xf numFmtId="0" fontId="13" fillId="20" borderId="0" xfId="0" applyFont="1" applyFill="1" applyBorder="1"/>
    <xf numFmtId="3" fontId="10" fillId="20" borderId="0" xfId="0" applyNumberFormat="1" applyFont="1" applyFill="1" applyBorder="1"/>
    <xf numFmtId="0" fontId="14" fillId="20" borderId="0" xfId="0" applyFont="1" applyFill="1"/>
    <xf numFmtId="3" fontId="14" fillId="19" borderId="20" xfId="0" applyNumberFormat="1" applyFont="1" applyFill="1" applyBorder="1"/>
    <xf numFmtId="3" fontId="14" fillId="19" borderId="21" xfId="0" applyNumberFormat="1" applyFont="1" applyFill="1" applyBorder="1"/>
    <xf numFmtId="0" fontId="15" fillId="22" borderId="6" xfId="0" applyFont="1" applyFill="1" applyBorder="1" applyAlignment="1">
      <alignment horizontal="center"/>
    </xf>
    <xf numFmtId="0" fontId="19" fillId="20" borderId="18" xfId="0" applyFont="1" applyFill="1" applyBorder="1" applyAlignment="1">
      <alignment horizontal="right"/>
    </xf>
    <xf numFmtId="167" fontId="6" fillId="23" borderId="6" xfId="0" applyNumberFormat="1" applyFont="1" applyFill="1" applyBorder="1"/>
    <xf numFmtId="3" fontId="6" fillId="23" borderId="6" xfId="0" applyNumberFormat="1" applyFont="1" applyFill="1" applyBorder="1"/>
    <xf numFmtId="3" fontId="24" fillId="23" borderId="6" xfId="0" applyNumberFormat="1" applyFont="1" applyFill="1" applyBorder="1"/>
    <xf numFmtId="0" fontId="4" fillId="19" borderId="0" xfId="0" applyFont="1" applyFill="1"/>
    <xf numFmtId="3" fontId="4" fillId="19" borderId="20" xfId="0" applyNumberFormat="1" applyFont="1" applyFill="1" applyBorder="1"/>
    <xf numFmtId="167" fontId="6" fillId="23" borderId="20" xfId="0" applyNumberFormat="1" applyFont="1" applyFill="1" applyBorder="1"/>
    <xf numFmtId="3" fontId="6" fillId="23" borderId="19" xfId="0" applyNumberFormat="1" applyFont="1" applyFill="1" applyBorder="1"/>
    <xf numFmtId="0" fontId="7" fillId="24" borderId="22" xfId="0" applyFont="1" applyFill="1" applyBorder="1"/>
    <xf numFmtId="0" fontId="7" fillId="24" borderId="23" xfId="0" applyFont="1" applyFill="1" applyBorder="1"/>
    <xf numFmtId="0" fontId="7" fillId="24" borderId="24" xfId="0" applyFont="1" applyFill="1" applyBorder="1"/>
    <xf numFmtId="0" fontId="6" fillId="24" borderId="23" xfId="0" applyFont="1" applyFill="1" applyBorder="1"/>
    <xf numFmtId="0" fontId="6" fillId="24" borderId="24" xfId="0" applyFont="1" applyFill="1" applyBorder="1"/>
    <xf numFmtId="0" fontId="7" fillId="24" borderId="11" xfId="0" applyFont="1" applyFill="1" applyBorder="1"/>
    <xf numFmtId="0" fontId="6" fillId="24" borderId="12" xfId="0" applyFont="1" applyFill="1" applyBorder="1"/>
    <xf numFmtId="0" fontId="6" fillId="24" borderId="13" xfId="0" applyFont="1" applyFill="1" applyBorder="1"/>
    <xf numFmtId="3" fontId="14" fillId="20" borderId="0" xfId="0" applyNumberFormat="1" applyFont="1" applyFill="1" applyBorder="1"/>
    <xf numFmtId="0" fontId="14" fillId="20" borderId="0" xfId="0" applyFont="1" applyFill="1" applyBorder="1" applyAlignment="1">
      <alignment horizontal="center"/>
    </xf>
    <xf numFmtId="0" fontId="14" fillId="20" borderId="22" xfId="0" applyFont="1" applyFill="1" applyBorder="1"/>
    <xf numFmtId="0" fontId="14" fillId="20" borderId="23" xfId="0" applyFont="1" applyFill="1" applyBorder="1"/>
    <xf numFmtId="0" fontId="14" fillId="20" borderId="24" xfId="0" applyFont="1" applyFill="1" applyBorder="1"/>
    <xf numFmtId="168" fontId="14" fillId="19" borderId="0" xfId="0" applyNumberFormat="1" applyFont="1" applyFill="1" applyBorder="1"/>
    <xf numFmtId="0" fontId="14" fillId="20" borderId="14" xfId="0" applyFont="1" applyFill="1" applyBorder="1" applyAlignment="1">
      <alignment horizontal="right"/>
    </xf>
    <xf numFmtId="0" fontId="3" fillId="0" borderId="0" xfId="0" applyFont="1" applyFill="1" applyBorder="1"/>
    <xf numFmtId="0" fontId="25" fillId="25" borderId="11" xfId="0" applyFont="1" applyFill="1" applyBorder="1"/>
    <xf numFmtId="0" fontId="25" fillId="25" borderId="13" xfId="0" applyFont="1" applyFill="1" applyBorder="1"/>
    <xf numFmtId="0" fontId="3" fillId="20" borderId="14" xfId="0" applyFont="1" applyFill="1" applyBorder="1" applyAlignment="1">
      <alignment horizontal="right"/>
    </xf>
    <xf numFmtId="0" fontId="25" fillId="25" borderId="22" xfId="0" applyFont="1" applyFill="1" applyBorder="1"/>
    <xf numFmtId="0" fontId="25" fillId="25" borderId="23" xfId="0" applyFont="1" applyFill="1" applyBorder="1"/>
    <xf numFmtId="0" fontId="25" fillId="25" borderId="24" xfId="0" applyFont="1" applyFill="1" applyBorder="1"/>
    <xf numFmtId="0" fontId="16" fillId="20" borderId="16" xfId="0" applyFont="1" applyFill="1" applyBorder="1"/>
    <xf numFmtId="0" fontId="25" fillId="26" borderId="22" xfId="0" applyFont="1" applyFill="1" applyBorder="1"/>
    <xf numFmtId="0" fontId="26" fillId="26" borderId="23" xfId="0" applyFont="1" applyFill="1" applyBorder="1"/>
    <xf numFmtId="0" fontId="26" fillId="26" borderId="24" xfId="0" applyFont="1" applyFill="1" applyBorder="1"/>
    <xf numFmtId="0" fontId="15" fillId="20" borderId="14" xfId="0" applyFont="1" applyFill="1" applyBorder="1" applyAlignment="1">
      <alignment horizontal="right"/>
    </xf>
    <xf numFmtId="22" fontId="10" fillId="20" borderId="6" xfId="0" applyNumberFormat="1" applyFont="1" applyFill="1" applyBorder="1" applyAlignment="1">
      <alignment horizontal="center"/>
    </xf>
    <xf numFmtId="0" fontId="14" fillId="20" borderId="0" xfId="0" applyFont="1" applyFill="1" applyBorder="1" applyAlignment="1">
      <alignment horizontal="right"/>
    </xf>
    <xf numFmtId="0" fontId="9" fillId="0" borderId="0" xfId="0" applyFont="1"/>
    <xf numFmtId="3" fontId="9" fillId="27" borderId="6" xfId="0" applyNumberFormat="1" applyFont="1" applyFill="1" applyBorder="1"/>
    <xf numFmtId="3" fontId="9" fillId="28" borderId="6" xfId="0" applyNumberFormat="1" applyFont="1" applyFill="1" applyBorder="1"/>
    <xf numFmtId="3" fontId="9" fillId="29" borderId="6" xfId="0" applyNumberFormat="1" applyFont="1" applyFill="1" applyBorder="1"/>
    <xf numFmtId="0" fontId="52" fillId="27" borderId="0" xfId="0" applyFont="1" applyFill="1"/>
    <xf numFmtId="0" fontId="52" fillId="28" borderId="0" xfId="0" applyFont="1" applyFill="1"/>
    <xf numFmtId="0" fontId="52" fillId="29" borderId="0" xfId="0" applyFont="1" applyFill="1"/>
    <xf numFmtId="0" fontId="3" fillId="19" borderId="0" xfId="0" applyFont="1" applyFill="1" applyAlignment="1">
      <alignment horizontal="left" vertical="center" wrapText="1"/>
    </xf>
    <xf numFmtId="0" fontId="3" fillId="19" borderId="0" xfId="0" applyFont="1" applyFill="1" applyAlignment="1">
      <alignment horizontal="center" vertical="center" wrapText="1"/>
    </xf>
    <xf numFmtId="0" fontId="3" fillId="19" borderId="0" xfId="0" applyFont="1" applyFill="1" applyAlignment="1">
      <alignment vertical="center" wrapText="1"/>
    </xf>
    <xf numFmtId="0" fontId="3" fillId="19" borderId="0" xfId="0" applyFont="1" applyFill="1" applyBorder="1" applyAlignment="1">
      <alignment horizontal="center" vertical="center" wrapText="1"/>
    </xf>
    <xf numFmtId="0" fontId="3" fillId="19" borderId="0" xfId="0" applyFont="1" applyFill="1" applyBorder="1" applyAlignment="1">
      <alignment vertical="center" wrapText="1"/>
    </xf>
    <xf numFmtId="0" fontId="10" fillId="19" borderId="0" xfId="0" applyFont="1" applyFill="1" applyAlignment="1">
      <alignment horizontal="left" vertical="center" wrapText="1"/>
    </xf>
    <xf numFmtId="0" fontId="10" fillId="19" borderId="0" xfId="0" applyFont="1" applyFill="1" applyAlignment="1">
      <alignment horizontal="right" vertical="center" wrapText="1"/>
    </xf>
    <xf numFmtId="0" fontId="28" fillId="19" borderId="0" xfId="0" applyFont="1" applyFill="1" applyBorder="1" applyAlignment="1">
      <alignment horizontal="left" vertical="center" wrapText="1"/>
    </xf>
    <xf numFmtId="0" fontId="14" fillId="19" borderId="25" xfId="0" applyFont="1" applyFill="1" applyBorder="1" applyAlignment="1">
      <alignment vertical="center" wrapText="1"/>
    </xf>
    <xf numFmtId="0" fontId="14" fillId="19" borderId="25" xfId="0" quotePrefix="1" applyFont="1" applyFill="1" applyBorder="1" applyAlignment="1">
      <alignment horizontal="left" vertical="center" wrapText="1"/>
    </xf>
    <xf numFmtId="0" fontId="14" fillId="19" borderId="25" xfId="0" quotePrefix="1" applyFont="1" applyFill="1" applyBorder="1" applyAlignment="1">
      <alignment vertical="center" wrapText="1"/>
    </xf>
    <xf numFmtId="0" fontId="16" fillId="19" borderId="25" xfId="0" applyFont="1" applyFill="1" applyBorder="1" applyAlignment="1">
      <alignment horizontal="center" vertical="center" wrapText="1"/>
    </xf>
    <xf numFmtId="3" fontId="6" fillId="23" borderId="26" xfId="0" applyNumberFormat="1" applyFont="1" applyFill="1" applyBorder="1" applyAlignment="1">
      <alignment horizontal="right"/>
    </xf>
    <xf numFmtId="4" fontId="6" fillId="23" borderId="27" xfId="0" applyNumberFormat="1" applyFont="1" applyFill="1" applyBorder="1" applyAlignment="1">
      <alignment horizontal="right"/>
    </xf>
    <xf numFmtId="3" fontId="6" fillId="19" borderId="0" xfId="0" applyNumberFormat="1" applyFont="1" applyFill="1" applyBorder="1" applyAlignment="1">
      <alignment horizontal="right"/>
    </xf>
    <xf numFmtId="4" fontId="6" fillId="23" borderId="28" xfId="0" applyNumberFormat="1" applyFont="1" applyFill="1" applyBorder="1" applyAlignment="1">
      <alignment horizontal="right"/>
    </xf>
    <xf numFmtId="0" fontId="16" fillId="19" borderId="14" xfId="0" applyFont="1" applyFill="1" applyBorder="1" applyAlignment="1">
      <alignment horizontal="center" vertical="center" wrapText="1"/>
    </xf>
    <xf numFmtId="0" fontId="14" fillId="19" borderId="14" xfId="0" applyFont="1" applyFill="1" applyBorder="1" applyAlignment="1">
      <alignment vertical="center" wrapText="1"/>
    </xf>
    <xf numFmtId="0" fontId="14" fillId="19" borderId="14" xfId="0" quotePrefix="1" applyFont="1" applyFill="1" applyBorder="1" applyAlignment="1">
      <alignment horizontal="left" vertical="center" wrapText="1"/>
    </xf>
    <xf numFmtId="0" fontId="14" fillId="19" borderId="14" xfId="0" quotePrefix="1" applyFont="1" applyFill="1" applyBorder="1" applyAlignment="1">
      <alignment vertical="center" wrapText="1"/>
    </xf>
    <xf numFmtId="0" fontId="19" fillId="19" borderId="25" xfId="0" applyFont="1" applyFill="1" applyBorder="1" applyAlignment="1">
      <alignment wrapText="1"/>
    </xf>
    <xf numFmtId="0" fontId="29" fillId="19" borderId="25" xfId="0" applyFont="1" applyFill="1" applyBorder="1"/>
    <xf numFmtId="0" fontId="16" fillId="19" borderId="25" xfId="0" applyFont="1" applyFill="1" applyBorder="1" applyAlignment="1">
      <alignment wrapText="1"/>
    </xf>
    <xf numFmtId="0" fontId="27" fillId="19" borderId="25" xfId="0" applyFont="1" applyFill="1" applyBorder="1"/>
    <xf numFmtId="0" fontId="25" fillId="19" borderId="0" xfId="0" applyFont="1" applyFill="1" applyBorder="1" applyAlignment="1">
      <alignment horizontal="center"/>
    </xf>
    <xf numFmtId="3" fontId="6" fillId="23" borderId="28" xfId="0" applyNumberFormat="1" applyFont="1" applyFill="1" applyBorder="1" applyAlignment="1">
      <alignment horizontal="right"/>
    </xf>
    <xf numFmtId="0" fontId="53" fillId="0" borderId="0" xfId="0" applyFont="1"/>
    <xf numFmtId="0" fontId="12" fillId="19" borderId="0" xfId="0" applyFont="1" applyFill="1" applyBorder="1" applyAlignment="1">
      <alignment horizontal="center"/>
    </xf>
    <xf numFmtId="0" fontId="3" fillId="30" borderId="28" xfId="0" applyFont="1" applyFill="1" applyBorder="1" applyAlignment="1">
      <alignment horizontal="center"/>
    </xf>
    <xf numFmtId="0" fontId="3" fillId="19" borderId="28" xfId="0" applyFont="1" applyFill="1" applyBorder="1" applyAlignment="1">
      <alignment horizontal="center"/>
    </xf>
    <xf numFmtId="0" fontId="3" fillId="19" borderId="22" xfId="0" applyFont="1" applyFill="1" applyBorder="1" applyAlignment="1">
      <alignment horizontal="center"/>
    </xf>
    <xf numFmtId="0" fontId="3" fillId="22" borderId="28" xfId="0" applyFont="1" applyFill="1" applyBorder="1" applyAlignment="1">
      <alignment horizontal="center"/>
    </xf>
    <xf numFmtId="0" fontId="3" fillId="22" borderId="22" xfId="0" applyFont="1" applyFill="1" applyBorder="1" applyAlignment="1">
      <alignment horizontal="center"/>
    </xf>
    <xf numFmtId="0" fontId="3" fillId="29" borderId="28" xfId="0" applyFont="1" applyFill="1" applyBorder="1" applyAlignment="1">
      <alignment horizontal="center"/>
    </xf>
    <xf numFmtId="0" fontId="3" fillId="29" borderId="22" xfId="0" applyFont="1" applyFill="1" applyBorder="1" applyAlignment="1">
      <alignment horizontal="center"/>
    </xf>
    <xf numFmtId="0" fontId="54" fillId="19" borderId="0" xfId="0" applyFont="1" applyFill="1" applyAlignment="1">
      <alignment horizontal="left"/>
    </xf>
    <xf numFmtId="0" fontId="54" fillId="19" borderId="0" xfId="0" applyFont="1" applyFill="1" applyAlignment="1">
      <alignment horizontal="center"/>
    </xf>
    <xf numFmtId="0" fontId="13" fillId="19" borderId="0" xfId="0" applyFont="1" applyFill="1" applyBorder="1" applyAlignment="1">
      <alignment horizontal="center"/>
    </xf>
    <xf numFmtId="0" fontId="10" fillId="19" borderId="0" xfId="0" applyFont="1" applyFill="1" applyAlignment="1">
      <alignment horizontal="center"/>
    </xf>
    <xf numFmtId="20" fontId="13" fillId="19" borderId="20" xfId="0" applyNumberFormat="1" applyFont="1" applyFill="1" applyBorder="1" applyAlignment="1">
      <alignment horizontal="center"/>
    </xf>
    <xf numFmtId="20" fontId="55" fillId="31" borderId="20" xfId="0" applyNumberFormat="1" applyFont="1" applyFill="1" applyBorder="1" applyAlignment="1">
      <alignment horizontal="center"/>
    </xf>
    <xf numFmtId="0" fontId="24" fillId="31" borderId="20" xfId="0" applyFont="1" applyFill="1" applyBorder="1" applyAlignment="1">
      <alignment horizontal="center"/>
    </xf>
    <xf numFmtId="20" fontId="55" fillId="31" borderId="6" xfId="0" applyNumberFormat="1" applyFont="1" applyFill="1" applyBorder="1" applyAlignment="1">
      <alignment horizontal="center"/>
    </xf>
    <xf numFmtId="0" fontId="13" fillId="25" borderId="22" xfId="0" applyFont="1" applyFill="1" applyBorder="1" applyAlignment="1">
      <alignment horizontal="justify"/>
    </xf>
    <xf numFmtId="0" fontId="4" fillId="19" borderId="0" xfId="0" applyFont="1" applyFill="1" applyAlignment="1">
      <alignment horizontal="right" vertical="center" wrapText="1"/>
    </xf>
    <xf numFmtId="0" fontId="25" fillId="25" borderId="28" xfId="0" applyFont="1" applyFill="1" applyBorder="1" applyAlignment="1">
      <alignment horizontal="center"/>
    </xf>
    <xf numFmtId="0" fontId="15" fillId="21" borderId="28" xfId="0" applyFont="1" applyFill="1" applyBorder="1" applyAlignment="1">
      <alignment horizontal="center" vertical="center" wrapText="1"/>
    </xf>
    <xf numFmtId="0" fontId="14" fillId="21" borderId="17" xfId="0" applyFont="1" applyFill="1" applyBorder="1" applyAlignment="1">
      <alignment vertical="center" wrapText="1"/>
    </xf>
    <xf numFmtId="0" fontId="56" fillId="19" borderId="11" xfId="0" applyFont="1" applyFill="1" applyBorder="1" applyAlignment="1">
      <alignment horizontal="right" vertical="center" wrapText="1"/>
    </xf>
    <xf numFmtId="0" fontId="56" fillId="19" borderId="14" xfId="0" applyFont="1" applyFill="1" applyBorder="1" applyAlignment="1">
      <alignment horizontal="right" vertical="center" wrapText="1"/>
    </xf>
    <xf numFmtId="0" fontId="6" fillId="19" borderId="0" xfId="0" applyFont="1" applyFill="1" applyBorder="1" applyAlignment="1">
      <alignment vertical="center" wrapText="1"/>
    </xf>
    <xf numFmtId="0" fontId="14" fillId="21" borderId="28" xfId="0" applyFont="1" applyFill="1" applyBorder="1" applyAlignment="1">
      <alignment vertical="center" wrapText="1"/>
    </xf>
    <xf numFmtId="0" fontId="14" fillId="21" borderId="28" xfId="0" quotePrefix="1" applyFont="1" applyFill="1" applyBorder="1" applyAlignment="1">
      <alignment vertical="center" wrapText="1"/>
    </xf>
    <xf numFmtId="0" fontId="14" fillId="21" borderId="28" xfId="0" quotePrefix="1" applyFont="1" applyFill="1" applyBorder="1" applyAlignment="1">
      <alignment horizontal="left" vertical="center" wrapText="1"/>
    </xf>
    <xf numFmtId="0" fontId="6" fillId="19" borderId="0" xfId="0" quotePrefix="1" applyFont="1" applyFill="1" applyBorder="1" applyAlignment="1">
      <alignment horizontal="left" vertical="center" wrapText="1"/>
    </xf>
    <xf numFmtId="0" fontId="14" fillId="21" borderId="17" xfId="0" quotePrefix="1" applyFont="1" applyFill="1" applyBorder="1" applyAlignment="1">
      <alignment horizontal="left" vertical="center" wrapText="1"/>
    </xf>
    <xf numFmtId="0" fontId="6" fillId="19" borderId="0" xfId="0" quotePrefix="1" applyFont="1" applyFill="1" applyBorder="1" applyAlignment="1">
      <alignment vertical="center" wrapText="1"/>
    </xf>
    <xf numFmtId="0" fontId="3" fillId="19" borderId="0" xfId="0" applyFont="1" applyFill="1" applyAlignment="1">
      <alignment horizontal="right" vertical="center" wrapText="1"/>
    </xf>
    <xf numFmtId="0" fontId="57" fillId="19" borderId="0" xfId="0" applyFont="1" applyFill="1" applyBorder="1" applyAlignment="1">
      <alignment horizontal="left" vertical="center" wrapText="1"/>
    </xf>
    <xf numFmtId="0" fontId="15" fillId="20" borderId="29" xfId="0" applyFont="1" applyFill="1" applyBorder="1" applyAlignment="1">
      <alignment wrapText="1"/>
    </xf>
    <xf numFmtId="0" fontId="14" fillId="20" borderId="25" xfId="0" applyFont="1" applyFill="1" applyBorder="1" applyAlignment="1">
      <alignment wrapText="1"/>
    </xf>
    <xf numFmtId="0" fontId="56" fillId="20" borderId="30" xfId="0" applyFont="1" applyFill="1" applyBorder="1"/>
    <xf numFmtId="0" fontId="56" fillId="19" borderId="12" xfId="0" applyFont="1" applyFill="1" applyBorder="1" applyAlignment="1">
      <alignment horizontal="right"/>
    </xf>
    <xf numFmtId="0" fontId="25" fillId="19" borderId="0" xfId="0" applyFont="1" applyFill="1" applyBorder="1" applyAlignment="1">
      <alignment horizontal="right"/>
    </xf>
    <xf numFmtId="0" fontId="15" fillId="19" borderId="0" xfId="0" applyFont="1" applyFill="1" applyBorder="1" applyAlignment="1">
      <alignment horizontal="right"/>
    </xf>
    <xf numFmtId="0" fontId="25" fillId="20" borderId="30" xfId="0" applyFont="1" applyFill="1" applyBorder="1"/>
    <xf numFmtId="0" fontId="56" fillId="20" borderId="25" xfId="0" applyFont="1" applyFill="1" applyBorder="1"/>
    <xf numFmtId="0" fontId="25" fillId="20" borderId="25" xfId="0" applyFont="1" applyFill="1" applyBorder="1"/>
    <xf numFmtId="0" fontId="3" fillId="19" borderId="0" xfId="0" applyFont="1" applyFill="1" applyBorder="1" applyAlignment="1">
      <alignment horizontal="left" vertical="center" wrapText="1"/>
    </xf>
    <xf numFmtId="0" fontId="14" fillId="19" borderId="0" xfId="0" applyFont="1" applyFill="1" applyBorder="1" applyAlignment="1">
      <alignment horizontal="center"/>
    </xf>
    <xf numFmtId="167" fontId="6" fillId="19" borderId="0" xfId="0" applyNumberFormat="1" applyFont="1" applyFill="1" applyBorder="1" applyAlignment="1">
      <alignment horizontal="center"/>
    </xf>
    <xf numFmtId="0" fontId="9" fillId="19" borderId="0" xfId="0" applyFont="1" applyFill="1"/>
    <xf numFmtId="0" fontId="52" fillId="19" borderId="0" xfId="0" applyFont="1" applyFill="1"/>
    <xf numFmtId="0" fontId="58" fillId="32" borderId="6" xfId="0" applyFont="1" applyFill="1" applyBorder="1"/>
    <xf numFmtId="0" fontId="9" fillId="19" borderId="6" xfId="0" applyFont="1" applyFill="1" applyBorder="1"/>
    <xf numFmtId="3" fontId="9" fillId="19" borderId="6" xfId="0" applyNumberFormat="1" applyFont="1" applyFill="1" applyBorder="1"/>
    <xf numFmtId="0" fontId="19" fillId="21" borderId="12" xfId="0" quotePrefix="1" applyFont="1" applyFill="1" applyBorder="1" applyAlignment="1">
      <alignment vertical="center" wrapText="1"/>
    </xf>
    <xf numFmtId="0" fontId="19" fillId="21" borderId="12" xfId="0" quotePrefix="1" applyFont="1" applyFill="1" applyBorder="1" applyAlignment="1">
      <alignment horizontal="left" vertical="center" wrapText="1"/>
    </xf>
    <xf numFmtId="0" fontId="19" fillId="21" borderId="28" xfId="0" quotePrefix="1" applyFont="1" applyFill="1" applyBorder="1" applyAlignment="1">
      <alignment vertical="center" wrapText="1"/>
    </xf>
    <xf numFmtId="0" fontId="19" fillId="21" borderId="28" xfId="0" quotePrefix="1" applyFont="1" applyFill="1" applyBorder="1" applyAlignment="1">
      <alignment horizontal="left" vertical="center" wrapText="1"/>
    </xf>
    <xf numFmtId="3" fontId="52" fillId="19" borderId="0" xfId="0" applyNumberFormat="1" applyFont="1" applyFill="1"/>
    <xf numFmtId="3" fontId="29" fillId="20" borderId="14" xfId="0" applyNumberFormat="1" applyFont="1" applyFill="1" applyBorder="1" applyAlignment="1">
      <alignment horizontal="right"/>
    </xf>
    <xf numFmtId="0" fontId="29" fillId="20" borderId="14" xfId="0" applyFont="1" applyFill="1" applyBorder="1" applyAlignment="1">
      <alignment horizontal="right"/>
    </xf>
    <xf numFmtId="0" fontId="56" fillId="20" borderId="14" xfId="0" applyFont="1" applyFill="1" applyBorder="1"/>
    <xf numFmtId="0" fontId="29" fillId="20" borderId="14" xfId="0" applyFont="1" applyFill="1" applyBorder="1"/>
    <xf numFmtId="3" fontId="7" fillId="23" borderId="6" xfId="0" applyNumberFormat="1" applyFont="1" applyFill="1" applyBorder="1" applyAlignment="1">
      <alignment horizontal="center"/>
    </xf>
    <xf numFmtId="0" fontId="7" fillId="23" borderId="6" xfId="0" applyFont="1" applyFill="1" applyBorder="1" applyAlignment="1">
      <alignment horizontal="center"/>
    </xf>
    <xf numFmtId="3" fontId="14" fillId="19" borderId="0" xfId="0" applyNumberFormat="1" applyFont="1" applyFill="1" applyBorder="1" applyAlignment="1">
      <alignment horizontal="center"/>
    </xf>
    <xf numFmtId="0" fontId="3" fillId="19" borderId="0" xfId="0" applyFont="1" applyFill="1" applyBorder="1" applyAlignment="1">
      <alignment horizontal="center"/>
    </xf>
    <xf numFmtId="0" fontId="59" fillId="19" borderId="0" xfId="0" applyFont="1" applyFill="1"/>
    <xf numFmtId="0" fontId="60" fillId="19" borderId="0" xfId="0" applyFont="1" applyFill="1"/>
    <xf numFmtId="3" fontId="16" fillId="20" borderId="0" xfId="0" applyNumberFormat="1" applyFont="1" applyFill="1" applyBorder="1" applyAlignment="1">
      <alignment horizontal="center"/>
    </xf>
    <xf numFmtId="0" fontId="14" fillId="20" borderId="31" xfId="0" applyFont="1" applyFill="1" applyBorder="1"/>
    <xf numFmtId="0" fontId="14" fillId="20" borderId="6" xfId="0" applyFont="1" applyFill="1" applyBorder="1"/>
    <xf numFmtId="3" fontId="14" fillId="20" borderId="19" xfId="0" applyNumberFormat="1" applyFont="1" applyFill="1" applyBorder="1"/>
    <xf numFmtId="4" fontId="6" fillId="23" borderId="19" xfId="0" applyNumberFormat="1" applyFont="1" applyFill="1" applyBorder="1"/>
    <xf numFmtId="167" fontId="3" fillId="19" borderId="0" xfId="0" applyNumberFormat="1" applyFont="1" applyFill="1"/>
    <xf numFmtId="3" fontId="14" fillId="33" borderId="6" xfId="0" applyNumberFormat="1" applyFont="1" applyFill="1" applyBorder="1"/>
    <xf numFmtId="3" fontId="14" fillId="21" borderId="6" xfId="0" applyNumberFormat="1" applyFont="1" applyFill="1" applyBorder="1" applyProtection="1">
      <protection locked="0"/>
    </xf>
    <xf numFmtId="3" fontId="14" fillId="21" borderId="32" xfId="0" applyNumberFormat="1" applyFont="1" applyFill="1" applyBorder="1" applyProtection="1">
      <protection locked="0"/>
    </xf>
    <xf numFmtId="0" fontId="14" fillId="21" borderId="6" xfId="0" applyFont="1" applyFill="1" applyBorder="1" applyProtection="1">
      <protection locked="0"/>
    </xf>
    <xf numFmtId="0" fontId="14" fillId="21" borderId="19" xfId="0" applyFont="1" applyFill="1" applyBorder="1" applyProtection="1">
      <protection locked="0"/>
    </xf>
    <xf numFmtId="0" fontId="14" fillId="21" borderId="31" xfId="0" applyFont="1" applyFill="1" applyBorder="1" applyProtection="1">
      <protection locked="0"/>
    </xf>
    <xf numFmtId="2" fontId="14" fillId="21" borderId="33" xfId="0" applyNumberFormat="1" applyFont="1" applyFill="1" applyBorder="1" applyProtection="1">
      <protection locked="0"/>
    </xf>
    <xf numFmtId="0" fontId="15" fillId="21" borderId="6" xfId="0" applyFont="1" applyFill="1" applyBorder="1" applyAlignment="1" applyProtection="1">
      <alignment horizontal="center"/>
      <protection locked="0"/>
    </xf>
    <xf numFmtId="22" fontId="10" fillId="20" borderId="6" xfId="0" applyNumberFormat="1" applyFont="1" applyFill="1" applyBorder="1" applyAlignment="1" applyProtection="1">
      <alignment horizontal="center"/>
      <protection locked="0"/>
    </xf>
    <xf numFmtId="3" fontId="14" fillId="21" borderId="27" xfId="0" applyNumberFormat="1" applyFont="1" applyFill="1" applyBorder="1" applyAlignment="1" applyProtection="1">
      <alignment horizontal="right"/>
      <protection locked="0"/>
    </xf>
    <xf numFmtId="3" fontId="14" fillId="21" borderId="34" xfId="0" applyNumberFormat="1" applyFont="1" applyFill="1" applyBorder="1" applyAlignment="1" applyProtection="1">
      <alignment horizontal="right"/>
      <protection locked="0"/>
    </xf>
    <xf numFmtId="3" fontId="14" fillId="21" borderId="6" xfId="0" applyNumberFormat="1" applyFont="1" applyFill="1" applyBorder="1" applyAlignment="1" applyProtection="1">
      <alignment horizontal="right"/>
      <protection locked="0"/>
    </xf>
    <xf numFmtId="4" fontId="14" fillId="21" borderId="6" xfId="0" applyNumberFormat="1" applyFont="1" applyFill="1" applyBorder="1" applyAlignment="1" applyProtection="1">
      <alignment horizontal="right"/>
      <protection locked="0"/>
    </xf>
    <xf numFmtId="0" fontId="3" fillId="20" borderId="17" xfId="0" applyFont="1" applyFill="1" applyBorder="1" applyProtection="1"/>
    <xf numFmtId="0" fontId="61" fillId="19" borderId="0" xfId="0" applyFont="1" applyFill="1"/>
    <xf numFmtId="0" fontId="30" fillId="34" borderId="0" xfId="68" applyFill="1"/>
    <xf numFmtId="0" fontId="25" fillId="49" borderId="22" xfId="0" applyFont="1" applyFill="1" applyBorder="1"/>
    <xf numFmtId="0" fontId="25" fillId="49" borderId="11" xfId="0" applyFont="1" applyFill="1" applyBorder="1"/>
    <xf numFmtId="0" fontId="30" fillId="49" borderId="13" xfId="68" applyFill="1" applyBorder="1"/>
    <xf numFmtId="175" fontId="6" fillId="23" borderId="6" xfId="0" applyNumberFormat="1" applyFont="1" applyFill="1" applyBorder="1"/>
    <xf numFmtId="170" fontId="6" fillId="23" borderId="6" xfId="91" applyNumberFormat="1" applyFont="1" applyFill="1" applyBorder="1"/>
    <xf numFmtId="0" fontId="30" fillId="49" borderId="23" xfId="68" applyFill="1" applyBorder="1"/>
    <xf numFmtId="0" fontId="30" fillId="49" borderId="12" xfId="68" applyFill="1" applyBorder="1"/>
    <xf numFmtId="175" fontId="14" fillId="21" borderId="6" xfId="0" applyNumberFormat="1" applyFont="1" applyFill="1" applyBorder="1" applyProtection="1">
      <protection locked="0"/>
    </xf>
    <xf numFmtId="170" fontId="14" fillId="21" borderId="6" xfId="91" applyNumberFormat="1" applyFont="1" applyFill="1" applyBorder="1" applyProtection="1">
      <protection locked="0"/>
    </xf>
    <xf numFmtId="175" fontId="14" fillId="21" borderId="31" xfId="0" applyNumberFormat="1" applyFont="1" applyFill="1" applyBorder="1" applyProtection="1">
      <protection locked="0"/>
    </xf>
    <xf numFmtId="175" fontId="14" fillId="21" borderId="19" xfId="0" applyNumberFormat="1" applyFont="1" applyFill="1" applyBorder="1" applyProtection="1">
      <protection locked="0"/>
    </xf>
    <xf numFmtId="164" fontId="6" fillId="23" borderId="6" xfId="91" applyNumberFormat="1" applyFont="1" applyFill="1" applyBorder="1"/>
    <xf numFmtId="176" fontId="6" fillId="23" borderId="6" xfId="91" applyNumberFormat="1" applyFont="1" applyFill="1" applyBorder="1"/>
    <xf numFmtId="176" fontId="14" fillId="21" borderId="6" xfId="91" applyNumberFormat="1" applyFont="1" applyFill="1" applyBorder="1" applyProtection="1">
      <protection locked="0"/>
    </xf>
    <xf numFmtId="0" fontId="25" fillId="49" borderId="29" xfId="0" applyFont="1" applyFill="1" applyBorder="1"/>
    <xf numFmtId="170" fontId="6" fillId="23" borderId="31" xfId="91" applyNumberFormat="1" applyFont="1" applyFill="1" applyBorder="1"/>
    <xf numFmtId="170" fontId="14" fillId="21" borderId="20" xfId="91" applyNumberFormat="1" applyFont="1" applyFill="1" applyBorder="1" applyProtection="1">
      <protection locked="0"/>
    </xf>
    <xf numFmtId="164" fontId="6" fillId="23" borderId="21" xfId="91" applyNumberFormat="1" applyFont="1" applyFill="1" applyBorder="1"/>
    <xf numFmtId="164" fontId="6" fillId="23" borderId="19" xfId="91" applyNumberFormat="1" applyFont="1" applyFill="1" applyBorder="1"/>
    <xf numFmtId="0" fontId="25" fillId="49" borderId="24" xfId="0" applyFont="1" applyFill="1" applyBorder="1"/>
    <xf numFmtId="175" fontId="6" fillId="23" borderId="42" xfId="0" applyNumberFormat="1" applyFont="1" applyFill="1" applyBorder="1"/>
    <xf numFmtId="0" fontId="15" fillId="20" borderId="16" xfId="0" applyFont="1" applyFill="1" applyBorder="1"/>
    <xf numFmtId="0" fontId="62" fillId="34" borderId="0" xfId="68" applyFont="1" applyFill="1" applyAlignment="1">
      <alignment horizontal="center"/>
    </xf>
  </cellXfs>
  <cellStyles count="157">
    <cellStyle name="=C:\WINNT35\SYSTEM32\COMMAND.COM" xfId="1"/>
    <cellStyle name="=C:\WINNT35\SYSTEM32\COMMAND.COM 2" xfId="95"/>
    <cellStyle name="20% - Accent1" xfId="2" builtinId="30" customBuiltin="1"/>
    <cellStyle name="20% - Accent1 2" xfId="96"/>
    <cellStyle name="20% - Accent2" xfId="3" builtinId="34" customBuiltin="1"/>
    <cellStyle name="20% - Accent2 2" xfId="97"/>
    <cellStyle name="20% - Accent3" xfId="4" builtinId="38" customBuiltin="1"/>
    <cellStyle name="20% - Accent3 2" xfId="98"/>
    <cellStyle name="20% - Accent4" xfId="5" builtinId="42" customBuiltin="1"/>
    <cellStyle name="20% - Accent4 2" xfId="99"/>
    <cellStyle name="20% - Accent5" xfId="6" builtinId="46" customBuiltin="1"/>
    <cellStyle name="20% - Accent5 2" xfId="100"/>
    <cellStyle name="20% - Accent6" xfId="7" builtinId="50" customBuiltin="1"/>
    <cellStyle name="20% - Accent6 2" xfId="101"/>
    <cellStyle name="20% - uthevingsfarge 1" xfId="8"/>
    <cellStyle name="20% - uthevingsfarge 2" xfId="9"/>
    <cellStyle name="20% - uthevingsfarge 3" xfId="10"/>
    <cellStyle name="20% - uthevingsfarge 4" xfId="11"/>
    <cellStyle name="20% - uthevingsfarge 5" xfId="12"/>
    <cellStyle name="20% - uthevingsfarge 6" xfId="13"/>
    <cellStyle name="40% - Accent1" xfId="14" builtinId="31" customBuiltin="1"/>
    <cellStyle name="40% - Accent1 2" xfId="102"/>
    <cellStyle name="40% - Accent2" xfId="15" builtinId="35" customBuiltin="1"/>
    <cellStyle name="40% - Accent2 2" xfId="103"/>
    <cellStyle name="40% - Accent3" xfId="16" builtinId="39" customBuiltin="1"/>
    <cellStyle name="40% - Accent3 2" xfId="104"/>
    <cellStyle name="40% - Accent4" xfId="17" builtinId="43" customBuiltin="1"/>
    <cellStyle name="40% - Accent4 2" xfId="105"/>
    <cellStyle name="40% - Accent5" xfId="18" builtinId="47" customBuiltin="1"/>
    <cellStyle name="40% - Accent5 2" xfId="106"/>
    <cellStyle name="40% - Accent6" xfId="19" builtinId="51" customBuiltin="1"/>
    <cellStyle name="40% - Accent6 2" xfId="107"/>
    <cellStyle name="40% - uthevingsfarge 1" xfId="20"/>
    <cellStyle name="40% - uthevingsfarge 2" xfId="21"/>
    <cellStyle name="40% - uthevingsfarge 3" xfId="22"/>
    <cellStyle name="40% - uthevingsfarge 4" xfId="23"/>
    <cellStyle name="40% - uthevingsfarge 5" xfId="24"/>
    <cellStyle name="40% - uthevingsfarge 6" xfId="25"/>
    <cellStyle name="60% - Accent1" xfId="26" builtinId="32" customBuiltin="1"/>
    <cellStyle name="60% - Accent1 2" xfId="108"/>
    <cellStyle name="60% - Accent2" xfId="27" builtinId="36" customBuiltin="1"/>
    <cellStyle name="60% - Accent2 2" xfId="109"/>
    <cellStyle name="60% - Accent3" xfId="28" builtinId="40" customBuiltin="1"/>
    <cellStyle name="60% - Accent3 2" xfId="110"/>
    <cellStyle name="60% - Accent4" xfId="29" builtinId="44" customBuiltin="1"/>
    <cellStyle name="60% - Accent4 2" xfId="111"/>
    <cellStyle name="60% - Accent5" xfId="30" builtinId="48" customBuiltin="1"/>
    <cellStyle name="60% - Accent5 2" xfId="112"/>
    <cellStyle name="60% - Accent6" xfId="31" builtinId="52" customBuiltin="1"/>
    <cellStyle name="60% - Accent6 2" xfId="113"/>
    <cellStyle name="60% - uthevingsfarge 1" xfId="32"/>
    <cellStyle name="60% - uthevingsfarge 2" xfId="33"/>
    <cellStyle name="60% - uthevingsfarge 3" xfId="34"/>
    <cellStyle name="60% - uthevingsfarge 4" xfId="35"/>
    <cellStyle name="60% - uthevingsfarge 5" xfId="36"/>
    <cellStyle name="60% - uthevingsfarge 6" xfId="37"/>
    <cellStyle name="Accent1" xfId="38" builtinId="29" customBuiltin="1"/>
    <cellStyle name="Accent1 2" xfId="114"/>
    <cellStyle name="Accent2" xfId="39" builtinId="33" customBuiltin="1"/>
    <cellStyle name="Accent2 2" xfId="115"/>
    <cellStyle name="Accent3" xfId="40" builtinId="37" customBuiltin="1"/>
    <cellStyle name="Accent3 2" xfId="116"/>
    <cellStyle name="Accent4" xfId="41" builtinId="41" customBuiltin="1"/>
    <cellStyle name="Accent4 2" xfId="117"/>
    <cellStyle name="Accent5" xfId="42" builtinId="45" customBuiltin="1"/>
    <cellStyle name="Accent5 2" xfId="118"/>
    <cellStyle name="Accent6" xfId="43" builtinId="49" customBuiltin="1"/>
    <cellStyle name="Accent6 2" xfId="119"/>
    <cellStyle name="Bad" xfId="44" builtinId="27" customBuiltin="1"/>
    <cellStyle name="Bad 2" xfId="120"/>
    <cellStyle name="Beregning" xfId="45"/>
    <cellStyle name="Calculation" xfId="46" builtinId="22" customBuiltin="1"/>
    <cellStyle name="Calculation 2" xfId="121"/>
    <cellStyle name="Check Cell" xfId="47" builtinId="23" customBuiltin="1"/>
    <cellStyle name="Check Cell 2" xfId="122"/>
    <cellStyle name="Comma" xfId="91" builtinId="3"/>
    <cellStyle name="Comma 2" xfId="48"/>
    <cellStyle name="Comma 3" xfId="92"/>
    <cellStyle name="Dårlig" xfId="49"/>
    <cellStyle name="Euro" xfId="123"/>
    <cellStyle name="Euro 2" xfId="124"/>
    <cellStyle name="Explanatory Text" xfId="50" builtinId="53" customBuiltin="1"/>
    <cellStyle name="Explanatory Text 2" xfId="125"/>
    <cellStyle name="Forklarende tekst" xfId="51"/>
    <cellStyle name="God" xfId="52"/>
    <cellStyle name="Good" xfId="53" builtinId="26" customBuiltin="1"/>
    <cellStyle name="Good 2" xfId="126"/>
    <cellStyle name="Header1" xfId="127"/>
    <cellStyle name="header2" xfId="128"/>
    <cellStyle name="header3" xfId="129"/>
    <cellStyle name="Heading 1" xfId="54" builtinId="16" customBuiltin="1"/>
    <cellStyle name="Heading 1 2" xfId="130"/>
    <cellStyle name="Heading 2" xfId="55" builtinId="17" customBuiltin="1"/>
    <cellStyle name="Heading 2 2" xfId="131"/>
    <cellStyle name="Heading 3" xfId="56" builtinId="18" customBuiltin="1"/>
    <cellStyle name="Heading 3 2" xfId="132"/>
    <cellStyle name="Heading 4" xfId="57" builtinId="19" customBuiltin="1"/>
    <cellStyle name="Heading 4 2" xfId="133"/>
    <cellStyle name="Inndata" xfId="58"/>
    <cellStyle name="Input" xfId="59" builtinId="20" customBuiltin="1"/>
    <cellStyle name="Input 2" xfId="134"/>
    <cellStyle name="Koblet celle" xfId="60"/>
    <cellStyle name="Komma [0]_Norg" xfId="61"/>
    <cellStyle name="Komma_Norg" xfId="62"/>
    <cellStyle name="Kontrollcelle" xfId="63"/>
    <cellStyle name="Linked Cell" xfId="64" builtinId="24" customBuiltin="1"/>
    <cellStyle name="Linked Cell 2" xfId="135"/>
    <cellStyle name="long lead" xfId="136"/>
    <cellStyle name="Merknad" xfId="65"/>
    <cellStyle name="Model_Calculation" xfId="137"/>
    <cellStyle name="Neutral" xfId="66" builtinId="28" customBuiltin="1"/>
    <cellStyle name="Neutral 2" xfId="138"/>
    <cellStyle name="nogrid" xfId="139"/>
    <cellStyle name="Normal" xfId="0" builtinId="0"/>
    <cellStyle name="Normal [0,0]" xfId="67"/>
    <cellStyle name="Normal [0,0] 2" xfId="140"/>
    <cellStyle name="Normal 2" xfId="68"/>
    <cellStyle name="Normal 3" xfId="94"/>
    <cellStyle name="Note" xfId="69" builtinId="10" customBuiltin="1"/>
    <cellStyle name="Note 2" xfId="141"/>
    <cellStyle name="Nøytral" xfId="70"/>
    <cellStyle name="Output" xfId="71" builtinId="21" customBuiltin="1"/>
    <cellStyle name="Output 2" xfId="142"/>
    <cellStyle name="Overskrift 1" xfId="72"/>
    <cellStyle name="Overskrift 2" xfId="73"/>
    <cellStyle name="Overskrift 3" xfId="74"/>
    <cellStyle name="Overskrift 4" xfId="75"/>
    <cellStyle name="Percent 2" xfId="93"/>
    <cellStyle name="Percent 3" xfId="143"/>
    <cellStyle name="Result" xfId="76"/>
    <cellStyle name="shade" xfId="144"/>
    <cellStyle name="Standaard_Joep CBall Amer7_m-carlo run2" xfId="145"/>
    <cellStyle name="Standard_03_Price_Breakdown_Compressor_Etzel III_REV01" xfId="146"/>
    <cellStyle name="Stil 1" xfId="77"/>
    <cellStyle name="Style 1" xfId="147"/>
    <cellStyle name="Style 1 2" xfId="148"/>
    <cellStyle name="Technical_Input" xfId="149"/>
    <cellStyle name="Title" xfId="78" builtinId="15" customBuiltin="1"/>
    <cellStyle name="Title 2" xfId="150"/>
    <cellStyle name="Tittel" xfId="79"/>
    <cellStyle name="Total" xfId="80" builtinId="25" customBuiltin="1"/>
    <cellStyle name="Total 2" xfId="151"/>
    <cellStyle name="Totalt" xfId="81"/>
    <cellStyle name="Unit" xfId="152"/>
    <cellStyle name="Utdata" xfId="82"/>
    <cellStyle name="Uthevingsfarge1" xfId="83"/>
    <cellStyle name="Uthevingsfarge2" xfId="84"/>
    <cellStyle name="Uthevingsfarge3" xfId="85"/>
    <cellStyle name="Uthevingsfarge4" xfId="86"/>
    <cellStyle name="Uthevingsfarge5" xfId="87"/>
    <cellStyle name="Uthevingsfarge6" xfId="88"/>
    <cellStyle name="Valuta [0]_IndirectsLNG" xfId="153"/>
    <cellStyle name="Valuta_IndirectsLNG" xfId="154"/>
    <cellStyle name="Varseltekst" xfId="89"/>
    <cellStyle name="Warning Text" xfId="90" builtinId="11" customBuiltin="1"/>
    <cellStyle name="Warning Text 2" xfId="155"/>
    <cellStyle name="標準_Equipment list (KP)" xfId="156"/>
  </cellStyles>
  <dxfs count="32">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indexed="44"/>
      </font>
      <fill>
        <patternFill>
          <bgColor indexed="24"/>
        </patternFill>
      </fill>
      <border>
        <left/>
        <right/>
        <top/>
        <bottom/>
      </border>
    </dxf>
    <dxf>
      <font>
        <condense val="0"/>
        <extend val="0"/>
        <color indexed="18"/>
      </font>
      <fill>
        <patternFill>
          <bgColor indexed="24"/>
        </patternFill>
      </fill>
      <border>
        <left/>
        <right/>
        <top/>
        <bottom/>
      </border>
    </dxf>
    <dxf>
      <font>
        <condense val="0"/>
        <extend val="0"/>
        <color indexed="24"/>
      </font>
      <fill>
        <patternFill>
          <bgColor indexed="24"/>
        </patternFill>
      </fill>
      <border>
        <left/>
        <right/>
        <top/>
        <bottom/>
      </border>
    </dxf>
    <dxf>
      <font>
        <condense val="0"/>
        <extend val="0"/>
        <color indexed="44"/>
      </font>
      <fill>
        <patternFill>
          <bgColor indexed="24"/>
        </patternFill>
      </fill>
      <border>
        <left/>
        <right/>
        <top/>
        <bottom/>
      </border>
    </dxf>
    <dxf>
      <font>
        <condense val="0"/>
        <extend val="0"/>
        <color indexed="18"/>
      </font>
    </dxf>
    <dxf>
      <font>
        <condense val="0"/>
        <extend val="0"/>
        <color indexed="24"/>
      </font>
      <fill>
        <patternFill>
          <bgColor indexed="24"/>
        </patternFill>
      </fill>
      <border>
        <left/>
        <right/>
        <top/>
        <bottom/>
      </border>
    </dxf>
    <dxf>
      <font>
        <condense val="0"/>
        <extend val="0"/>
        <color indexed="18"/>
      </font>
    </dxf>
    <dxf>
      <font>
        <condense val="0"/>
        <extend val="0"/>
        <color indexed="18"/>
      </font>
      <fill>
        <patternFill>
          <bgColor indexed="24"/>
        </patternFill>
      </fill>
      <border>
        <left/>
        <right/>
        <top/>
        <bottom/>
      </border>
    </dxf>
    <dxf>
      <font>
        <condense val="0"/>
        <extend val="0"/>
        <color indexed="24"/>
      </font>
      <fill>
        <patternFill>
          <bgColor indexed="24"/>
        </patternFill>
      </fill>
      <border>
        <left/>
        <right/>
        <top/>
        <bottom/>
      </border>
    </dxf>
    <dxf>
      <font>
        <condense val="0"/>
        <extend val="0"/>
        <color indexed="24"/>
      </font>
      <fill>
        <patternFill>
          <bgColor indexed="24"/>
        </patternFill>
      </fill>
      <border>
        <left/>
        <right/>
        <top/>
        <bottom/>
      </border>
    </dxf>
    <dxf>
      <font>
        <condense val="0"/>
        <extend val="0"/>
        <color indexed="18"/>
      </font>
      <fill>
        <patternFill>
          <bgColor indexed="24"/>
        </patternFill>
      </fill>
      <border>
        <left/>
        <right/>
        <top/>
        <bottom/>
      </border>
    </dxf>
    <dxf>
      <font>
        <condense val="0"/>
        <extend val="0"/>
        <color indexed="24"/>
      </font>
      <fill>
        <patternFill>
          <bgColor indexed="24"/>
        </patternFill>
      </fill>
      <border>
        <left/>
        <right/>
        <top/>
        <bottom/>
      </border>
    </dxf>
    <dxf>
      <font>
        <condense val="0"/>
        <extend val="0"/>
        <color indexed="63"/>
      </font>
      <fill>
        <patternFill>
          <bgColor indexed="24"/>
        </patternFill>
      </fill>
      <border>
        <left/>
        <right/>
        <top/>
        <bottom/>
      </border>
    </dxf>
    <dxf>
      <font>
        <condense val="0"/>
        <extend val="0"/>
        <color indexed="18"/>
      </font>
    </dxf>
    <dxf>
      <font>
        <condense val="0"/>
        <extend val="0"/>
        <color indexed="24"/>
      </font>
      <fill>
        <patternFill>
          <bgColor indexed="24"/>
        </patternFill>
      </fill>
      <border>
        <left/>
        <right/>
        <top/>
        <bottom/>
      </border>
    </dxf>
    <dxf>
      <font>
        <condense val="0"/>
        <extend val="0"/>
        <color indexed="18"/>
      </font>
      <fill>
        <patternFill>
          <bgColor indexed="24"/>
        </patternFill>
      </fill>
      <border>
        <left/>
        <right/>
        <top/>
        <bottom/>
      </border>
    </dxf>
    <dxf>
      <font>
        <condense val="0"/>
        <extend val="0"/>
        <color indexed="18"/>
      </font>
      <fill>
        <patternFill>
          <bgColor indexed="24"/>
        </patternFill>
      </fill>
      <border>
        <left/>
        <right/>
        <top/>
        <bottom/>
      </border>
    </dxf>
    <dxf>
      <font>
        <condense val="0"/>
        <extend val="0"/>
        <color indexed="24"/>
      </font>
      <fill>
        <patternFill>
          <bgColor indexed="24"/>
        </patternFill>
      </fill>
      <border>
        <left/>
        <right/>
        <top/>
        <bottom/>
      </border>
    </dxf>
    <dxf>
      <font>
        <condense val="0"/>
        <extend val="0"/>
        <color indexed="24"/>
      </font>
      <fill>
        <patternFill>
          <bgColor indexed="24"/>
        </patternFill>
      </fill>
      <border>
        <left/>
        <right/>
        <top/>
        <bottom/>
      </border>
    </dxf>
    <dxf>
      <font>
        <condense val="0"/>
        <extend val="0"/>
        <color indexed="24"/>
      </font>
      <fill>
        <patternFill>
          <bgColor indexed="24"/>
        </patternFill>
      </fill>
      <border>
        <left/>
        <right/>
        <top/>
        <bottom/>
      </border>
    </dxf>
    <dxf>
      <font>
        <condense val="0"/>
        <extend val="0"/>
        <color indexed="18"/>
      </font>
    </dxf>
    <dxf>
      <font>
        <condense val="0"/>
        <extend val="0"/>
        <color indexed="24"/>
      </font>
      <fill>
        <patternFill>
          <bgColor indexed="24"/>
        </patternFill>
      </fill>
      <border>
        <left/>
        <right/>
        <top/>
        <bottom/>
      </border>
    </dxf>
    <dxf>
      <font>
        <condense val="0"/>
        <extend val="0"/>
        <color indexed="18"/>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C9ECFF"/>
      <rgbColor rgb="0050C9E8"/>
      <rgbColor rgb="0000529B"/>
      <rgbColor rgb="000AB14B"/>
      <rgbColor rgb="004D4D4D"/>
      <rgbColor rgb="00B2B2B2"/>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8676726789038"/>
          <c:y val="8.9219330855018583E-2"/>
          <c:w val="0.77687703718963652"/>
          <c:h val="0.86245353159851301"/>
        </c:manualLayout>
      </c:layout>
      <c:barChart>
        <c:barDir val="col"/>
        <c:grouping val="stacked"/>
        <c:varyColors val="0"/>
        <c:ser>
          <c:idx val="0"/>
          <c:order val="0"/>
          <c:tx>
            <c:strRef>
              <c:f>'data for graph'!$B$3</c:f>
              <c:strCache>
                <c:ptCount val="1"/>
                <c:pt idx="0">
                  <c:v>Request</c:v>
                </c:pt>
              </c:strCache>
            </c:strRef>
          </c:tx>
          <c:spPr>
            <a:gradFill rotWithShape="0">
              <a:gsLst>
                <a:gs pos="0">
                  <a:srgbClr val="339966"/>
                </a:gs>
                <a:gs pos="50000">
                  <a:srgbClr val="003300"/>
                </a:gs>
                <a:gs pos="100000">
                  <a:srgbClr val="339966"/>
                </a:gs>
              </a:gsLst>
              <a:lin ang="0" scaled="1"/>
            </a:gradFill>
            <a:ln w="25400">
              <a:noFill/>
            </a:ln>
          </c:spPr>
          <c:invertIfNegative val="0"/>
          <c:cat>
            <c:strLit>
              <c:ptCount val="1"/>
            </c:strLit>
          </c:cat>
          <c:val>
            <c:numRef>
              <c:f>'data for graph'!$C$3:$N$3</c:f>
              <c:numCache>
                <c:formatCode>General</c:formatCode>
                <c:ptCount val="12"/>
                <c:pt idx="0" formatCode="#,##0">
                  <c:v>-500000</c:v>
                </c:pt>
                <c:pt idx="4" formatCode="#,##0">
                  <c:v>1000000</c:v>
                </c:pt>
                <c:pt idx="8" formatCode="#,##0">
                  <c:v>1000000</c:v>
                </c:pt>
              </c:numCache>
            </c:numRef>
          </c:val>
        </c:ser>
        <c:ser>
          <c:idx val="1"/>
          <c:order val="1"/>
          <c:tx>
            <c:strRef>
              <c:f>'data for graph'!$B$4</c:f>
              <c:strCache>
                <c:ptCount val="1"/>
                <c:pt idx="0">
                  <c:v>Rejected Part of Request</c:v>
                </c:pt>
              </c:strCache>
            </c:strRef>
          </c:tx>
          <c:spPr>
            <a:gradFill rotWithShape="0">
              <a:gsLst>
                <a:gs pos="0">
                  <a:srgbClr val="00FF00"/>
                </a:gs>
                <a:gs pos="50000">
                  <a:srgbClr val="339966"/>
                </a:gs>
                <a:gs pos="100000">
                  <a:srgbClr val="00FF00"/>
                </a:gs>
              </a:gsLst>
              <a:lin ang="0" scaled="1"/>
            </a:gradFill>
            <a:ln w="25400">
              <a:noFill/>
            </a:ln>
          </c:spPr>
          <c:invertIfNegative val="0"/>
          <c:cat>
            <c:strLit>
              <c:ptCount val="1"/>
            </c:strLit>
          </c:cat>
          <c:val>
            <c:numRef>
              <c:f>'data for graph'!$C$4:$N$4</c:f>
              <c:numCache>
                <c:formatCode>General</c:formatCode>
                <c:ptCount val="12"/>
                <c:pt idx="0" formatCode="#,##0">
                  <c:v>0</c:v>
                </c:pt>
                <c:pt idx="4" formatCode="#,##0">
                  <c:v>0</c:v>
                </c:pt>
                <c:pt idx="8" formatCode="#,##0">
                  <c:v>0</c:v>
                </c:pt>
              </c:numCache>
            </c:numRef>
          </c:val>
        </c:ser>
        <c:ser>
          <c:idx val="2"/>
          <c:order val="2"/>
          <c:tx>
            <c:strRef>
              <c:f>'data for graph'!$B$5</c:f>
              <c:strCache>
                <c:ptCount val="1"/>
                <c:pt idx="0">
                  <c:v>Confirmed Firm</c:v>
                </c:pt>
              </c:strCache>
            </c:strRef>
          </c:tx>
          <c:spPr>
            <a:gradFill rotWithShape="0">
              <a:gsLst>
                <a:gs pos="0">
                  <a:srgbClr val="0000FF"/>
                </a:gs>
                <a:gs pos="50000">
                  <a:srgbClr val="000080"/>
                </a:gs>
                <a:gs pos="100000">
                  <a:srgbClr val="0000FF"/>
                </a:gs>
              </a:gsLst>
              <a:lin ang="0" scaled="1"/>
            </a:gradFill>
            <a:ln w="25400">
              <a:noFill/>
            </a:ln>
          </c:spPr>
          <c:invertIfNegative val="0"/>
          <c:cat>
            <c:strLit>
              <c:ptCount val="1"/>
            </c:strLit>
          </c:cat>
          <c:val>
            <c:numRef>
              <c:f>'data for graph'!$C$5:$N$5</c:f>
              <c:numCache>
                <c:formatCode>#,##0</c:formatCode>
                <c:ptCount val="12"/>
                <c:pt idx="1">
                  <c:v>-358054</c:v>
                </c:pt>
                <c:pt idx="5">
                  <c:v>1000000</c:v>
                </c:pt>
                <c:pt idx="9">
                  <c:v>676155</c:v>
                </c:pt>
              </c:numCache>
            </c:numRef>
          </c:val>
        </c:ser>
        <c:ser>
          <c:idx val="3"/>
          <c:order val="3"/>
          <c:tx>
            <c:strRef>
              <c:f>'data for graph'!$B$6</c:f>
              <c:strCache>
                <c:ptCount val="1"/>
                <c:pt idx="0">
                  <c:v>Confirmed Interruptable</c:v>
                </c:pt>
              </c:strCache>
            </c:strRef>
          </c:tx>
          <c:spPr>
            <a:gradFill rotWithShape="0">
              <a:gsLst>
                <a:gs pos="0">
                  <a:srgbClr val="00CCFF"/>
                </a:gs>
                <a:gs pos="50000">
                  <a:srgbClr val="3366FF"/>
                </a:gs>
                <a:gs pos="100000">
                  <a:srgbClr val="00CCFF"/>
                </a:gs>
              </a:gsLst>
              <a:lin ang="0" scaled="1"/>
            </a:gradFill>
            <a:ln w="25400">
              <a:noFill/>
            </a:ln>
          </c:spPr>
          <c:invertIfNegative val="0"/>
          <c:cat>
            <c:strLit>
              <c:ptCount val="1"/>
            </c:strLit>
          </c:cat>
          <c:val>
            <c:numRef>
              <c:f>'data for graph'!$C$6:$N$6</c:f>
              <c:numCache>
                <c:formatCode>#,##0</c:formatCode>
                <c:ptCount val="12"/>
                <c:pt idx="1">
                  <c:v>-141946</c:v>
                </c:pt>
                <c:pt idx="5">
                  <c:v>0</c:v>
                </c:pt>
                <c:pt idx="9">
                  <c:v>323845</c:v>
                </c:pt>
              </c:numCache>
            </c:numRef>
          </c:val>
        </c:ser>
        <c:ser>
          <c:idx val="4"/>
          <c:order val="4"/>
          <c:tx>
            <c:strRef>
              <c:f>'data for graph'!$B$7</c:f>
              <c:strCache>
                <c:ptCount val="1"/>
                <c:pt idx="0">
                  <c:v>Firm Injection Capacity</c:v>
                </c:pt>
              </c:strCache>
            </c:strRef>
          </c:tx>
          <c:spPr>
            <a:gradFill rotWithShape="0">
              <a:gsLst>
                <a:gs pos="0">
                  <a:srgbClr val="969696"/>
                </a:gs>
                <a:gs pos="50000">
                  <a:srgbClr val="333333"/>
                </a:gs>
                <a:gs pos="100000">
                  <a:srgbClr val="969696"/>
                </a:gs>
              </a:gsLst>
              <a:lin ang="0" scaled="1"/>
            </a:gradFill>
            <a:ln w="25400">
              <a:noFill/>
            </a:ln>
          </c:spPr>
          <c:invertIfNegative val="0"/>
          <c:cat>
            <c:strLit>
              <c:ptCount val="1"/>
            </c:strLit>
          </c:cat>
          <c:val>
            <c:numRef>
              <c:f>'data for graph'!$C$7:$N$7</c:f>
              <c:numCache>
                <c:formatCode>#,##0</c:formatCode>
                <c:ptCount val="12"/>
                <c:pt idx="2">
                  <c:v>406077</c:v>
                </c:pt>
                <c:pt idx="6">
                  <c:v>1124078</c:v>
                </c:pt>
                <c:pt idx="10">
                  <c:v>676155</c:v>
                </c:pt>
              </c:numCache>
            </c:numRef>
          </c:val>
        </c:ser>
        <c:ser>
          <c:idx val="5"/>
          <c:order val="5"/>
          <c:tx>
            <c:strRef>
              <c:f>'data for graph'!$B$8</c:f>
              <c:strCache>
                <c:ptCount val="1"/>
                <c:pt idx="0">
                  <c:v>Registered Injection Capacity</c:v>
                </c:pt>
              </c:strCache>
            </c:strRef>
          </c:tx>
          <c:spPr>
            <a:gradFill rotWithShape="0">
              <a:gsLst>
                <a:gs pos="0">
                  <a:srgbClr val="C0C0C0"/>
                </a:gs>
                <a:gs pos="50000">
                  <a:srgbClr val="808080"/>
                </a:gs>
                <a:gs pos="100000">
                  <a:srgbClr val="C0C0C0"/>
                </a:gs>
              </a:gsLst>
              <a:lin ang="0" scaled="1"/>
            </a:gradFill>
            <a:ln w="25400">
              <a:noFill/>
            </a:ln>
          </c:spPr>
          <c:invertIfNegative val="0"/>
          <c:cat>
            <c:strLit>
              <c:ptCount val="1"/>
            </c:strLit>
          </c:cat>
          <c:val>
            <c:numRef>
              <c:f>'data for graph'!$C$8:$N$8</c:f>
              <c:numCache>
                <c:formatCode>#,##0</c:formatCode>
                <c:ptCount val="12"/>
                <c:pt idx="2">
                  <c:v>20923</c:v>
                </c:pt>
                <c:pt idx="6">
                  <c:v>156922</c:v>
                </c:pt>
                <c:pt idx="10">
                  <c:v>177845</c:v>
                </c:pt>
              </c:numCache>
            </c:numRef>
          </c:val>
        </c:ser>
        <c:ser>
          <c:idx val="6"/>
          <c:order val="6"/>
          <c:tx>
            <c:strRef>
              <c:f>'data for graph'!$B$9</c:f>
              <c:strCache>
                <c:ptCount val="1"/>
                <c:pt idx="0">
                  <c:v>Firm Withdrawal Capacity</c:v>
                </c:pt>
              </c:strCache>
            </c:strRef>
          </c:tx>
          <c:spPr>
            <a:gradFill rotWithShape="0">
              <a:gsLst>
                <a:gs pos="0">
                  <a:srgbClr val="969696"/>
                </a:gs>
                <a:gs pos="50000">
                  <a:srgbClr val="333333"/>
                </a:gs>
                <a:gs pos="100000">
                  <a:srgbClr val="969696"/>
                </a:gs>
              </a:gsLst>
              <a:lin ang="0" scaled="1"/>
            </a:gradFill>
            <a:ln w="25400">
              <a:noFill/>
            </a:ln>
          </c:spPr>
          <c:invertIfNegative val="0"/>
          <c:cat>
            <c:strLit>
              <c:ptCount val="1"/>
            </c:strLit>
          </c:cat>
          <c:val>
            <c:numRef>
              <c:f>'data for graph'!$C$9:$N$9</c:f>
              <c:numCache>
                <c:formatCode>#,##0</c:formatCode>
                <c:ptCount val="12"/>
                <c:pt idx="2">
                  <c:v>-358054</c:v>
                </c:pt>
                <c:pt idx="6">
                  <c:v>-1322726</c:v>
                </c:pt>
                <c:pt idx="10">
                  <c:v>-1075146</c:v>
                </c:pt>
              </c:numCache>
            </c:numRef>
          </c:val>
        </c:ser>
        <c:ser>
          <c:idx val="7"/>
          <c:order val="7"/>
          <c:tx>
            <c:strRef>
              <c:f>'data for graph'!$B$10</c:f>
              <c:strCache>
                <c:ptCount val="1"/>
                <c:pt idx="0">
                  <c:v>Registered Withdrawal Capacity</c:v>
                </c:pt>
              </c:strCache>
            </c:strRef>
          </c:tx>
          <c:spPr>
            <a:gradFill rotWithShape="0">
              <a:gsLst>
                <a:gs pos="0">
                  <a:srgbClr val="C0C0C0"/>
                </a:gs>
                <a:gs pos="50000">
                  <a:srgbClr val="808080"/>
                </a:gs>
                <a:gs pos="100000">
                  <a:srgbClr val="C0C0C0"/>
                </a:gs>
              </a:gsLst>
              <a:lin ang="0" scaled="1"/>
            </a:gradFill>
            <a:ln w="25400">
              <a:noFill/>
            </a:ln>
          </c:spPr>
          <c:invertIfNegative val="0"/>
          <c:cat>
            <c:strLit>
              <c:ptCount val="1"/>
            </c:strLit>
          </c:cat>
          <c:val>
            <c:numRef>
              <c:f>'data for graph'!$C$10:$N$10</c:f>
              <c:numCache>
                <c:formatCode>#,##0</c:formatCode>
                <c:ptCount val="12"/>
                <c:pt idx="2">
                  <c:v>-220946</c:v>
                </c:pt>
                <c:pt idx="6">
                  <c:v>-414274</c:v>
                </c:pt>
                <c:pt idx="10">
                  <c:v>-82854</c:v>
                </c:pt>
              </c:numCache>
            </c:numRef>
          </c:val>
        </c:ser>
        <c:dLbls>
          <c:showLegendKey val="0"/>
          <c:showVal val="0"/>
          <c:showCatName val="0"/>
          <c:showSerName val="0"/>
          <c:showPercent val="0"/>
          <c:showBubbleSize val="0"/>
        </c:dLbls>
        <c:gapWidth val="10"/>
        <c:overlap val="100"/>
        <c:axId val="63404672"/>
        <c:axId val="63451136"/>
      </c:barChart>
      <c:catAx>
        <c:axId val="6340467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800" b="1" i="0" u="none" strike="noStrike" baseline="0">
                <a:solidFill>
                  <a:srgbClr val="333333"/>
                </a:solidFill>
                <a:latin typeface="Verdana"/>
                <a:ea typeface="Verdana"/>
                <a:cs typeface="Verdana"/>
              </a:defRPr>
            </a:pPr>
            <a:endParaRPr lang="en-US"/>
          </a:p>
        </c:txPr>
        <c:crossAx val="63451136"/>
        <c:crosses val="autoZero"/>
        <c:auto val="1"/>
        <c:lblAlgn val="ctr"/>
        <c:lblOffset val="100"/>
        <c:tickLblSkip val="1"/>
        <c:tickMarkSkip val="1"/>
        <c:noMultiLvlLbl val="0"/>
      </c:catAx>
      <c:valAx>
        <c:axId val="63451136"/>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rtl="1">
              <a:defRPr sz="800" b="0" i="0" u="none" strike="noStrike" baseline="0">
                <a:solidFill>
                  <a:srgbClr val="333333"/>
                </a:solidFill>
                <a:latin typeface="Verdana"/>
                <a:ea typeface="Verdana"/>
                <a:cs typeface="Verdana"/>
              </a:defRPr>
            </a:pPr>
            <a:endParaRPr lang="en-US"/>
          </a:p>
        </c:txPr>
        <c:crossAx val="63404672"/>
        <c:crosses val="autoZero"/>
        <c:crossBetween val="between"/>
      </c:valAx>
      <c:spPr>
        <a:solidFill>
          <a:srgbClr val="FFFFFF"/>
        </a:solidFill>
        <a:ln w="25400">
          <a:noFill/>
        </a:ln>
      </c:spPr>
    </c:plotArea>
    <c:plotVisOnly val="1"/>
    <c:dispBlanksAs val="gap"/>
    <c:showDLblsOverMax val="0"/>
  </c:chart>
  <c:spPr>
    <a:no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919172605597079"/>
          <c:y val="8.9219330855018583E-2"/>
          <c:w val="0.30744433734178217"/>
          <c:h val="0.86245353159851301"/>
        </c:manualLayout>
      </c:layout>
      <c:barChart>
        <c:barDir val="col"/>
        <c:grouping val="stacked"/>
        <c:varyColors val="0"/>
        <c:ser>
          <c:idx val="0"/>
          <c:order val="0"/>
          <c:tx>
            <c:strRef>
              <c:f>'data for graph'!$O$3</c:f>
              <c:strCache>
                <c:ptCount val="1"/>
                <c:pt idx="0">
                  <c:v>Request</c:v>
                </c:pt>
              </c:strCache>
            </c:strRef>
          </c:tx>
          <c:spPr>
            <a:gradFill rotWithShape="0">
              <a:gsLst>
                <a:gs pos="0">
                  <a:srgbClr val="339966"/>
                </a:gs>
                <a:gs pos="50000">
                  <a:srgbClr val="003300"/>
                </a:gs>
                <a:gs pos="100000">
                  <a:srgbClr val="339966"/>
                </a:gs>
              </a:gsLst>
              <a:lin ang="0" scaled="1"/>
            </a:gradFill>
            <a:ln w="25400">
              <a:noFill/>
            </a:ln>
          </c:spPr>
          <c:invertIfNegative val="0"/>
          <c:cat>
            <c:strLit>
              <c:ptCount val="1"/>
            </c:strLit>
          </c:cat>
          <c:val>
            <c:numRef>
              <c:f>'data for graph'!$P$3:$R$3</c:f>
              <c:numCache>
                <c:formatCode>General</c:formatCode>
                <c:ptCount val="3"/>
                <c:pt idx="0" formatCode="#,##0">
                  <c:v>1500000</c:v>
                </c:pt>
              </c:numCache>
            </c:numRef>
          </c:val>
        </c:ser>
        <c:ser>
          <c:idx val="1"/>
          <c:order val="1"/>
          <c:tx>
            <c:strRef>
              <c:f>'data for graph'!$O$4</c:f>
              <c:strCache>
                <c:ptCount val="1"/>
                <c:pt idx="0">
                  <c:v>Rejected Part of Request</c:v>
                </c:pt>
              </c:strCache>
            </c:strRef>
          </c:tx>
          <c:spPr>
            <a:gradFill rotWithShape="0">
              <a:gsLst>
                <a:gs pos="0">
                  <a:srgbClr val="00FF00"/>
                </a:gs>
                <a:gs pos="50000">
                  <a:srgbClr val="339966"/>
                </a:gs>
                <a:gs pos="100000">
                  <a:srgbClr val="00FF00"/>
                </a:gs>
              </a:gsLst>
              <a:lin ang="0" scaled="1"/>
            </a:gradFill>
            <a:ln w="25400">
              <a:noFill/>
            </a:ln>
          </c:spPr>
          <c:invertIfNegative val="0"/>
          <c:cat>
            <c:strLit>
              <c:ptCount val="1"/>
            </c:strLit>
          </c:cat>
          <c:val>
            <c:numRef>
              <c:f>'data for graph'!$P$4:$R$4</c:f>
              <c:numCache>
                <c:formatCode>General</c:formatCode>
                <c:ptCount val="3"/>
                <c:pt idx="0" formatCode="#,##0">
                  <c:v>0</c:v>
                </c:pt>
              </c:numCache>
            </c:numRef>
          </c:val>
        </c:ser>
        <c:ser>
          <c:idx val="2"/>
          <c:order val="2"/>
          <c:tx>
            <c:strRef>
              <c:f>'data for graph'!$O$5</c:f>
              <c:strCache>
                <c:ptCount val="1"/>
                <c:pt idx="0">
                  <c:v>Total Confirmed</c:v>
                </c:pt>
              </c:strCache>
            </c:strRef>
          </c:tx>
          <c:spPr>
            <a:gradFill rotWithShape="0">
              <a:gsLst>
                <a:gs pos="0">
                  <a:srgbClr val="FFCC00"/>
                </a:gs>
                <a:gs pos="50000">
                  <a:srgbClr val="FF6600"/>
                </a:gs>
                <a:gs pos="100000">
                  <a:srgbClr val="FFCC00"/>
                </a:gs>
              </a:gsLst>
              <a:lin ang="0" scaled="1"/>
            </a:gradFill>
            <a:ln w="25400">
              <a:noFill/>
            </a:ln>
          </c:spPr>
          <c:invertIfNegative val="0"/>
          <c:cat>
            <c:strLit>
              <c:ptCount val="1"/>
            </c:strLit>
          </c:cat>
          <c:val>
            <c:numRef>
              <c:f>'data for graph'!$P$5:$R$5</c:f>
              <c:numCache>
                <c:formatCode>#,##0</c:formatCode>
                <c:ptCount val="3"/>
                <c:pt idx="1">
                  <c:v>1500000</c:v>
                </c:pt>
              </c:numCache>
            </c:numRef>
          </c:val>
        </c:ser>
        <c:ser>
          <c:idx val="3"/>
          <c:order val="3"/>
          <c:tx>
            <c:strRef>
              <c:f>'data for graph'!#REF!</c:f>
              <c:strCache>
                <c:ptCount val="1"/>
                <c:pt idx="0">
                  <c:v>#REF!</c:v>
                </c:pt>
              </c:strCache>
            </c:strRef>
          </c:tx>
          <c:spPr>
            <a:gradFill rotWithShape="0">
              <a:gsLst>
                <a:gs pos="0">
                  <a:srgbClr val="00CCFF"/>
                </a:gs>
                <a:gs pos="50000">
                  <a:srgbClr val="3366FF"/>
                </a:gs>
                <a:gs pos="100000">
                  <a:srgbClr val="00CCFF"/>
                </a:gs>
              </a:gsLst>
              <a:lin ang="0" scaled="1"/>
            </a:gradFill>
            <a:ln w="25400">
              <a:noFill/>
            </a:ln>
          </c:spPr>
          <c:invertIfNegative val="0"/>
          <c:cat>
            <c:strLit>
              <c:ptCount val="1"/>
            </c:strLit>
          </c:cat>
          <c:val>
            <c:numRef>
              <c:f>'data for graph'!#REF!</c:f>
              <c:numCache>
                <c:formatCode>General</c:formatCode>
                <c:ptCount val="1"/>
                <c:pt idx="0">
                  <c:v>1</c:v>
                </c:pt>
              </c:numCache>
            </c:numRef>
          </c:val>
        </c:ser>
        <c:ser>
          <c:idx val="4"/>
          <c:order val="4"/>
          <c:tx>
            <c:strRef>
              <c:f>'data for graph'!$O$6</c:f>
              <c:strCache>
                <c:ptCount val="1"/>
                <c:pt idx="0">
                  <c:v>Firm Injection Capacity</c:v>
                </c:pt>
              </c:strCache>
            </c:strRef>
          </c:tx>
          <c:spPr>
            <a:gradFill rotWithShape="0">
              <a:gsLst>
                <a:gs pos="0">
                  <a:srgbClr val="969696"/>
                </a:gs>
                <a:gs pos="50000">
                  <a:srgbClr val="333333"/>
                </a:gs>
                <a:gs pos="100000">
                  <a:srgbClr val="969696"/>
                </a:gs>
              </a:gsLst>
              <a:lin ang="0" scaled="1"/>
            </a:gradFill>
            <a:ln w="25400">
              <a:noFill/>
            </a:ln>
          </c:spPr>
          <c:invertIfNegative val="0"/>
          <c:cat>
            <c:strLit>
              <c:ptCount val="1"/>
            </c:strLit>
          </c:cat>
          <c:val>
            <c:numRef>
              <c:f>'data for graph'!$P$6:$R$6</c:f>
              <c:numCache>
                <c:formatCode>#,##0</c:formatCode>
                <c:ptCount val="3"/>
                <c:pt idx="2">
                  <c:v>2206310</c:v>
                </c:pt>
              </c:numCache>
            </c:numRef>
          </c:val>
        </c:ser>
        <c:ser>
          <c:idx val="5"/>
          <c:order val="5"/>
          <c:tx>
            <c:strRef>
              <c:f>'data for graph'!$O$7</c:f>
              <c:strCache>
                <c:ptCount val="1"/>
                <c:pt idx="0">
                  <c:v>Registered Injection Capacity</c:v>
                </c:pt>
              </c:strCache>
            </c:strRef>
          </c:tx>
          <c:spPr>
            <a:gradFill rotWithShape="0">
              <a:gsLst>
                <a:gs pos="0">
                  <a:srgbClr val="C0C0C0"/>
                </a:gs>
                <a:gs pos="50000">
                  <a:srgbClr val="808080"/>
                </a:gs>
                <a:gs pos="100000">
                  <a:srgbClr val="C0C0C0"/>
                </a:gs>
              </a:gsLst>
              <a:lin ang="0" scaled="1"/>
            </a:gradFill>
            <a:ln w="25400">
              <a:noFill/>
            </a:ln>
          </c:spPr>
          <c:invertIfNegative val="0"/>
          <c:cat>
            <c:strLit>
              <c:ptCount val="1"/>
            </c:strLit>
          </c:cat>
          <c:val>
            <c:numRef>
              <c:f>'data for graph'!$P$7:$R$7</c:f>
              <c:numCache>
                <c:formatCode>#,##0</c:formatCode>
                <c:ptCount val="3"/>
                <c:pt idx="2">
                  <c:v>355690</c:v>
                </c:pt>
              </c:numCache>
            </c:numRef>
          </c:val>
        </c:ser>
        <c:ser>
          <c:idx val="6"/>
          <c:order val="6"/>
          <c:tx>
            <c:strRef>
              <c:f>'data for graph'!$O$8</c:f>
              <c:strCache>
                <c:ptCount val="1"/>
                <c:pt idx="0">
                  <c:v>Firm Withdrawal Capacity</c:v>
                </c:pt>
              </c:strCache>
            </c:strRef>
          </c:tx>
          <c:spPr>
            <a:gradFill rotWithShape="0">
              <a:gsLst>
                <a:gs pos="0">
                  <a:srgbClr val="969696"/>
                </a:gs>
                <a:gs pos="50000">
                  <a:srgbClr val="333333"/>
                </a:gs>
                <a:gs pos="100000">
                  <a:srgbClr val="969696"/>
                </a:gs>
              </a:gsLst>
              <a:lin ang="0" scaled="1"/>
            </a:gradFill>
            <a:ln w="25400">
              <a:noFill/>
            </a:ln>
          </c:spPr>
          <c:invertIfNegative val="0"/>
          <c:cat>
            <c:strLit>
              <c:ptCount val="1"/>
            </c:strLit>
          </c:cat>
          <c:val>
            <c:numRef>
              <c:f>'data for graph'!$P$8:$R$8</c:f>
              <c:numCache>
                <c:formatCode>#,##0</c:formatCode>
                <c:ptCount val="3"/>
                <c:pt idx="2">
                  <c:v>-2755926</c:v>
                </c:pt>
              </c:numCache>
            </c:numRef>
          </c:val>
        </c:ser>
        <c:ser>
          <c:idx val="7"/>
          <c:order val="7"/>
          <c:tx>
            <c:strRef>
              <c:f>'data for graph'!$O$9</c:f>
              <c:strCache>
                <c:ptCount val="1"/>
                <c:pt idx="0">
                  <c:v>Registered Withdrawal Capacity</c:v>
                </c:pt>
              </c:strCache>
            </c:strRef>
          </c:tx>
          <c:spPr>
            <a:gradFill rotWithShape="0">
              <a:gsLst>
                <a:gs pos="0">
                  <a:srgbClr val="C0C0C0"/>
                </a:gs>
                <a:gs pos="50000">
                  <a:srgbClr val="808080"/>
                </a:gs>
                <a:gs pos="100000">
                  <a:srgbClr val="C0C0C0"/>
                </a:gs>
              </a:gsLst>
              <a:lin ang="0" scaled="1"/>
            </a:gradFill>
            <a:ln w="25400">
              <a:noFill/>
            </a:ln>
          </c:spPr>
          <c:invertIfNegative val="0"/>
          <c:cat>
            <c:strLit>
              <c:ptCount val="1"/>
            </c:strLit>
          </c:cat>
          <c:val>
            <c:numRef>
              <c:f>'data for graph'!$P$9:$R$9</c:f>
              <c:numCache>
                <c:formatCode>#,##0</c:formatCode>
                <c:ptCount val="3"/>
                <c:pt idx="2">
                  <c:v>-718074</c:v>
                </c:pt>
              </c:numCache>
            </c:numRef>
          </c:val>
        </c:ser>
        <c:dLbls>
          <c:showLegendKey val="0"/>
          <c:showVal val="0"/>
          <c:showCatName val="0"/>
          <c:showSerName val="0"/>
          <c:showPercent val="0"/>
          <c:showBubbleSize val="0"/>
        </c:dLbls>
        <c:gapWidth val="10"/>
        <c:overlap val="100"/>
        <c:axId val="64914176"/>
        <c:axId val="64915712"/>
      </c:barChart>
      <c:catAx>
        <c:axId val="6491417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rtl="1">
              <a:defRPr sz="800" b="1" i="0" u="none" strike="noStrike" baseline="0">
                <a:solidFill>
                  <a:srgbClr val="333333"/>
                </a:solidFill>
                <a:latin typeface="Verdana"/>
                <a:ea typeface="Verdana"/>
                <a:cs typeface="Verdana"/>
              </a:defRPr>
            </a:pPr>
            <a:endParaRPr lang="en-US"/>
          </a:p>
        </c:txPr>
        <c:crossAx val="64915712"/>
        <c:crosses val="autoZero"/>
        <c:auto val="1"/>
        <c:lblAlgn val="ctr"/>
        <c:lblOffset val="100"/>
        <c:tickLblSkip val="1"/>
        <c:tickMarkSkip val="1"/>
        <c:noMultiLvlLbl val="0"/>
      </c:catAx>
      <c:valAx>
        <c:axId val="64915712"/>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Verdana"/>
                <a:ea typeface="Verdana"/>
                <a:cs typeface="Verdana"/>
              </a:defRPr>
            </a:pPr>
            <a:endParaRPr lang="en-US"/>
          </a:p>
        </c:txPr>
        <c:crossAx val="64914176"/>
        <c:crosses val="autoZero"/>
        <c:crossBetween val="between"/>
      </c:valAx>
      <c:spPr>
        <a:solidFill>
          <a:srgbClr val="FFFFFF"/>
        </a:solidFill>
        <a:ln w="25400">
          <a:noFill/>
        </a:ln>
      </c:spPr>
    </c:plotArea>
    <c:plotVisOnly val="1"/>
    <c:dispBlanksAs val="gap"/>
    <c:showDLblsOverMax val="0"/>
  </c:chart>
  <c:spPr>
    <a:noFill/>
    <a:ln w="9525">
      <a:noFill/>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50437568354547"/>
          <c:y val="8.8889210392109341E-2"/>
          <c:w val="0.77642430533914775"/>
          <c:h val="0.86296608422339494"/>
        </c:manualLayout>
      </c:layout>
      <c:barChart>
        <c:barDir val="col"/>
        <c:grouping val="stacked"/>
        <c:varyColors val="0"/>
        <c:ser>
          <c:idx val="0"/>
          <c:order val="0"/>
          <c:tx>
            <c:strRef>
              <c:f>'data for graph'!$B$14</c:f>
              <c:strCache>
                <c:ptCount val="1"/>
                <c:pt idx="0">
                  <c:v>Request</c:v>
                </c:pt>
              </c:strCache>
            </c:strRef>
          </c:tx>
          <c:spPr>
            <a:gradFill rotWithShape="0">
              <a:gsLst>
                <a:gs pos="0">
                  <a:srgbClr val="339966"/>
                </a:gs>
                <a:gs pos="50000">
                  <a:srgbClr val="003300"/>
                </a:gs>
                <a:gs pos="100000">
                  <a:srgbClr val="339966"/>
                </a:gs>
              </a:gsLst>
              <a:lin ang="0" scaled="1"/>
            </a:gradFill>
            <a:ln w="25400">
              <a:noFill/>
            </a:ln>
          </c:spPr>
          <c:invertIfNegative val="0"/>
          <c:cat>
            <c:strLit>
              <c:ptCount val="1"/>
            </c:strLit>
          </c:cat>
          <c:val>
            <c:numRef>
              <c:f>'data for graph'!$C$14:$N$14</c:f>
              <c:numCache>
                <c:formatCode>General</c:formatCode>
                <c:ptCount val="12"/>
                <c:pt idx="0" formatCode="#,##0">
                  <c:v>-800000</c:v>
                </c:pt>
                <c:pt idx="4" formatCode="#,##0">
                  <c:v>400000</c:v>
                </c:pt>
                <c:pt idx="8" formatCode="#,##0">
                  <c:v>-1000000</c:v>
                </c:pt>
              </c:numCache>
            </c:numRef>
          </c:val>
        </c:ser>
        <c:ser>
          <c:idx val="1"/>
          <c:order val="1"/>
          <c:tx>
            <c:strRef>
              <c:f>'data for graph'!$B$15</c:f>
              <c:strCache>
                <c:ptCount val="1"/>
                <c:pt idx="0">
                  <c:v>Rejected Part of Request</c:v>
                </c:pt>
              </c:strCache>
            </c:strRef>
          </c:tx>
          <c:spPr>
            <a:gradFill rotWithShape="0">
              <a:gsLst>
                <a:gs pos="0">
                  <a:srgbClr val="00FF00"/>
                </a:gs>
                <a:gs pos="50000">
                  <a:srgbClr val="339966"/>
                </a:gs>
                <a:gs pos="100000">
                  <a:srgbClr val="00FF00"/>
                </a:gs>
              </a:gsLst>
              <a:lin ang="0" scaled="1"/>
            </a:gradFill>
            <a:ln w="25400">
              <a:noFill/>
            </a:ln>
          </c:spPr>
          <c:invertIfNegative val="0"/>
          <c:cat>
            <c:strLit>
              <c:ptCount val="1"/>
            </c:strLit>
          </c:cat>
          <c:val>
            <c:numRef>
              <c:f>'data for graph'!$C$15:$N$15</c:f>
              <c:numCache>
                <c:formatCode>General</c:formatCode>
                <c:ptCount val="12"/>
                <c:pt idx="0" formatCode="#,##0">
                  <c:v>0</c:v>
                </c:pt>
                <c:pt idx="4" formatCode="#,##0">
                  <c:v>0</c:v>
                </c:pt>
                <c:pt idx="8" formatCode="#,##0">
                  <c:v>0</c:v>
                </c:pt>
              </c:numCache>
            </c:numRef>
          </c:val>
        </c:ser>
        <c:ser>
          <c:idx val="2"/>
          <c:order val="2"/>
          <c:tx>
            <c:strRef>
              <c:f>'data for graph'!$B$16</c:f>
              <c:strCache>
                <c:ptCount val="1"/>
                <c:pt idx="0">
                  <c:v>Confirmed Firm</c:v>
                </c:pt>
              </c:strCache>
            </c:strRef>
          </c:tx>
          <c:spPr>
            <a:gradFill rotWithShape="0">
              <a:gsLst>
                <a:gs pos="0">
                  <a:srgbClr val="0000FF"/>
                </a:gs>
                <a:gs pos="50000">
                  <a:srgbClr val="000080"/>
                </a:gs>
                <a:gs pos="100000">
                  <a:srgbClr val="0000FF"/>
                </a:gs>
              </a:gsLst>
              <a:lin ang="0" scaled="1"/>
            </a:gradFill>
            <a:ln w="25400">
              <a:noFill/>
            </a:ln>
          </c:spPr>
          <c:invertIfNegative val="0"/>
          <c:cat>
            <c:strLit>
              <c:ptCount val="1"/>
            </c:strLit>
          </c:cat>
          <c:val>
            <c:numRef>
              <c:f>'data for graph'!$C$16:$N$16</c:f>
              <c:numCache>
                <c:formatCode>#,##0</c:formatCode>
                <c:ptCount val="12"/>
                <c:pt idx="1">
                  <c:v>-579000</c:v>
                </c:pt>
                <c:pt idx="5">
                  <c:v>400000</c:v>
                </c:pt>
                <c:pt idx="9">
                  <c:v>-1000000</c:v>
                </c:pt>
              </c:numCache>
            </c:numRef>
          </c:val>
        </c:ser>
        <c:ser>
          <c:idx val="3"/>
          <c:order val="3"/>
          <c:tx>
            <c:strRef>
              <c:f>'data for graph'!$B$17</c:f>
              <c:strCache>
                <c:ptCount val="1"/>
                <c:pt idx="0">
                  <c:v>Confirmed Interruptable</c:v>
                </c:pt>
              </c:strCache>
            </c:strRef>
          </c:tx>
          <c:spPr>
            <a:gradFill rotWithShape="0">
              <a:gsLst>
                <a:gs pos="0">
                  <a:srgbClr val="00CCFF"/>
                </a:gs>
                <a:gs pos="50000">
                  <a:srgbClr val="3366FF"/>
                </a:gs>
                <a:gs pos="100000">
                  <a:srgbClr val="00CCFF"/>
                </a:gs>
              </a:gsLst>
              <a:lin ang="0" scaled="1"/>
            </a:gradFill>
            <a:ln w="25400">
              <a:noFill/>
            </a:ln>
          </c:spPr>
          <c:invertIfNegative val="0"/>
          <c:cat>
            <c:strLit>
              <c:ptCount val="1"/>
            </c:strLit>
          </c:cat>
          <c:val>
            <c:numRef>
              <c:f>'data for graph'!$C$17:$N$17</c:f>
              <c:numCache>
                <c:formatCode>#,##0</c:formatCode>
                <c:ptCount val="12"/>
                <c:pt idx="1">
                  <c:v>-221000</c:v>
                </c:pt>
                <c:pt idx="5">
                  <c:v>0</c:v>
                </c:pt>
                <c:pt idx="9">
                  <c:v>0</c:v>
                </c:pt>
              </c:numCache>
            </c:numRef>
          </c:val>
        </c:ser>
        <c:ser>
          <c:idx val="4"/>
          <c:order val="4"/>
          <c:tx>
            <c:strRef>
              <c:f>'data for graph'!$B$18</c:f>
              <c:strCache>
                <c:ptCount val="1"/>
                <c:pt idx="0">
                  <c:v>Firm Injection Capacity</c:v>
                </c:pt>
              </c:strCache>
            </c:strRef>
          </c:tx>
          <c:spPr>
            <a:gradFill rotWithShape="0">
              <a:gsLst>
                <a:gs pos="0">
                  <a:srgbClr val="969696"/>
                </a:gs>
                <a:gs pos="50000">
                  <a:srgbClr val="333333"/>
                </a:gs>
                <a:gs pos="100000">
                  <a:srgbClr val="969696"/>
                </a:gs>
              </a:gsLst>
              <a:lin ang="0" scaled="1"/>
            </a:gradFill>
            <a:ln w="25400">
              <a:noFill/>
            </a:ln>
          </c:spPr>
          <c:invertIfNegative val="0"/>
          <c:cat>
            <c:strLit>
              <c:ptCount val="1"/>
            </c:strLit>
          </c:cat>
          <c:val>
            <c:numRef>
              <c:f>'data for graph'!$C$18:$N$18</c:f>
              <c:numCache>
                <c:formatCode>#,##0</c:formatCode>
                <c:ptCount val="12"/>
                <c:pt idx="2">
                  <c:v>322341</c:v>
                </c:pt>
                <c:pt idx="6">
                  <c:v>967166</c:v>
                </c:pt>
                <c:pt idx="10">
                  <c:v>644681</c:v>
                </c:pt>
              </c:numCache>
            </c:numRef>
          </c:val>
        </c:ser>
        <c:ser>
          <c:idx val="5"/>
          <c:order val="5"/>
          <c:tx>
            <c:strRef>
              <c:f>'data for graph'!$B$19</c:f>
              <c:strCache>
                <c:ptCount val="1"/>
                <c:pt idx="0">
                  <c:v>Registered Injection Capacity</c:v>
                </c:pt>
              </c:strCache>
            </c:strRef>
          </c:tx>
          <c:spPr>
            <a:gradFill rotWithShape="0">
              <a:gsLst>
                <a:gs pos="0">
                  <a:srgbClr val="C0C0C0"/>
                </a:gs>
                <a:gs pos="50000">
                  <a:srgbClr val="808080"/>
                </a:gs>
                <a:gs pos="100000">
                  <a:srgbClr val="C0C0C0"/>
                </a:gs>
              </a:gsLst>
              <a:lin ang="0" scaled="1"/>
            </a:gradFill>
            <a:ln w="25400">
              <a:noFill/>
            </a:ln>
          </c:spPr>
          <c:invertIfNegative val="0"/>
          <c:cat>
            <c:strLit>
              <c:ptCount val="1"/>
            </c:strLit>
          </c:cat>
          <c:val>
            <c:numRef>
              <c:f>'data for graph'!$C$19:$N$19</c:f>
              <c:numCache>
                <c:formatCode>#,##0</c:formatCode>
                <c:ptCount val="12"/>
                <c:pt idx="2">
                  <c:v>104659</c:v>
                </c:pt>
                <c:pt idx="6">
                  <c:v>313834</c:v>
                </c:pt>
                <c:pt idx="10">
                  <c:v>209319</c:v>
                </c:pt>
              </c:numCache>
            </c:numRef>
          </c:val>
        </c:ser>
        <c:ser>
          <c:idx val="6"/>
          <c:order val="6"/>
          <c:tx>
            <c:strRef>
              <c:f>'data for graph'!$B$20</c:f>
              <c:strCache>
                <c:ptCount val="1"/>
                <c:pt idx="0">
                  <c:v>Firm Withdrawal Capacity</c:v>
                </c:pt>
              </c:strCache>
            </c:strRef>
          </c:tx>
          <c:spPr>
            <a:gradFill rotWithShape="0">
              <a:gsLst>
                <a:gs pos="0">
                  <a:srgbClr val="969696"/>
                </a:gs>
                <a:gs pos="50000">
                  <a:srgbClr val="333333"/>
                </a:gs>
                <a:gs pos="100000">
                  <a:srgbClr val="969696"/>
                </a:gs>
              </a:gsLst>
              <a:lin ang="0" scaled="1"/>
            </a:gradFill>
            <a:ln w="25400">
              <a:noFill/>
            </a:ln>
          </c:spPr>
          <c:invertIfNegative val="0"/>
          <c:cat>
            <c:strLit>
              <c:ptCount val="1"/>
            </c:strLit>
          </c:cat>
          <c:val>
            <c:numRef>
              <c:f>'data for graph'!$C$20:$N$20</c:f>
              <c:numCache>
                <c:formatCode>#,##0</c:formatCode>
                <c:ptCount val="12"/>
                <c:pt idx="2">
                  <c:v>-579000</c:v>
                </c:pt>
                <c:pt idx="6">
                  <c:v>-1736973</c:v>
                </c:pt>
                <c:pt idx="10">
                  <c:v>-1158000</c:v>
                </c:pt>
              </c:numCache>
            </c:numRef>
          </c:val>
        </c:ser>
        <c:ser>
          <c:idx val="7"/>
          <c:order val="7"/>
          <c:tx>
            <c:strRef>
              <c:f>'data for graph'!$B$21</c:f>
              <c:strCache>
                <c:ptCount val="1"/>
                <c:pt idx="0">
                  <c:v>Registered Withdrawal Capacity</c:v>
                </c:pt>
              </c:strCache>
            </c:strRef>
          </c:tx>
          <c:spPr>
            <a:gradFill rotWithShape="0">
              <a:gsLst>
                <a:gs pos="0">
                  <a:srgbClr val="C0C0C0"/>
                </a:gs>
                <a:gs pos="50000">
                  <a:srgbClr val="808080"/>
                </a:gs>
                <a:gs pos="100000">
                  <a:srgbClr val="C0C0C0"/>
                </a:gs>
              </a:gsLst>
              <a:lin ang="0" scaled="1"/>
            </a:gradFill>
            <a:ln w="25400">
              <a:noFill/>
            </a:ln>
          </c:spPr>
          <c:invertIfNegative val="0"/>
          <c:cat>
            <c:strLit>
              <c:ptCount val="1"/>
            </c:strLit>
          </c:cat>
          <c:val>
            <c:numRef>
              <c:f>'data for graph'!$C$21:$N$21</c:f>
              <c:numCache>
                <c:formatCode>#,##0</c:formatCode>
                <c:ptCount val="12"/>
                <c:pt idx="2">
                  <c:v>0</c:v>
                </c:pt>
                <c:pt idx="6">
                  <c:v>-27</c:v>
                </c:pt>
                <c:pt idx="10">
                  <c:v>0</c:v>
                </c:pt>
              </c:numCache>
            </c:numRef>
          </c:val>
        </c:ser>
        <c:dLbls>
          <c:showLegendKey val="0"/>
          <c:showVal val="0"/>
          <c:showCatName val="0"/>
          <c:showSerName val="0"/>
          <c:showPercent val="0"/>
          <c:showBubbleSize val="0"/>
        </c:dLbls>
        <c:gapWidth val="10"/>
        <c:overlap val="100"/>
        <c:axId val="82000512"/>
        <c:axId val="82010880"/>
      </c:barChart>
      <c:catAx>
        <c:axId val="8200051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800" b="1" i="0" u="none" strike="noStrike" baseline="0">
                <a:solidFill>
                  <a:srgbClr val="333333"/>
                </a:solidFill>
                <a:latin typeface="Verdana"/>
                <a:ea typeface="Verdana"/>
                <a:cs typeface="Verdana"/>
              </a:defRPr>
            </a:pPr>
            <a:endParaRPr lang="en-US"/>
          </a:p>
        </c:txPr>
        <c:crossAx val="82010880"/>
        <c:crosses val="autoZero"/>
        <c:auto val="1"/>
        <c:lblAlgn val="ctr"/>
        <c:lblOffset val="100"/>
        <c:tickLblSkip val="1"/>
        <c:tickMarkSkip val="1"/>
        <c:noMultiLvlLbl val="0"/>
      </c:catAx>
      <c:valAx>
        <c:axId val="82010880"/>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rtl="1">
              <a:defRPr sz="800" b="0" i="0" u="none" strike="noStrike" baseline="0">
                <a:solidFill>
                  <a:srgbClr val="333333"/>
                </a:solidFill>
                <a:latin typeface="Verdana"/>
                <a:ea typeface="Verdana"/>
                <a:cs typeface="Verdana"/>
              </a:defRPr>
            </a:pPr>
            <a:endParaRPr lang="en-US"/>
          </a:p>
        </c:txPr>
        <c:crossAx val="82000512"/>
        <c:crosses val="autoZero"/>
        <c:crossBetween val="between"/>
      </c:valAx>
      <c:spPr>
        <a:solidFill>
          <a:srgbClr val="FFFFFF"/>
        </a:solidFill>
        <a:ln w="25400">
          <a:noFill/>
        </a:ln>
      </c:spPr>
    </c:plotArea>
    <c:plotVisOnly val="1"/>
    <c:dispBlanksAs val="gap"/>
    <c:showDLblsOverMax val="0"/>
  </c:chart>
  <c:spPr>
    <a:no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919172605597079"/>
          <c:y val="8.9219330855018583E-2"/>
          <c:w val="0.30744433734178217"/>
          <c:h val="0.86245353159851301"/>
        </c:manualLayout>
      </c:layout>
      <c:barChart>
        <c:barDir val="col"/>
        <c:grouping val="stacked"/>
        <c:varyColors val="0"/>
        <c:ser>
          <c:idx val="0"/>
          <c:order val="0"/>
          <c:tx>
            <c:strRef>
              <c:f>'data for graph'!$O$14</c:f>
              <c:strCache>
                <c:ptCount val="1"/>
                <c:pt idx="0">
                  <c:v>Request</c:v>
                </c:pt>
              </c:strCache>
            </c:strRef>
          </c:tx>
          <c:spPr>
            <a:gradFill rotWithShape="0">
              <a:gsLst>
                <a:gs pos="0">
                  <a:srgbClr val="339966"/>
                </a:gs>
                <a:gs pos="50000">
                  <a:srgbClr val="003300"/>
                </a:gs>
                <a:gs pos="100000">
                  <a:srgbClr val="339966"/>
                </a:gs>
              </a:gsLst>
              <a:lin ang="0" scaled="1"/>
            </a:gradFill>
            <a:ln w="25400">
              <a:noFill/>
            </a:ln>
          </c:spPr>
          <c:invertIfNegative val="0"/>
          <c:cat>
            <c:strLit>
              <c:ptCount val="1"/>
            </c:strLit>
          </c:cat>
          <c:val>
            <c:numRef>
              <c:f>'data for graph'!$P$14:$R$14</c:f>
              <c:numCache>
                <c:formatCode>General</c:formatCode>
                <c:ptCount val="3"/>
                <c:pt idx="0" formatCode="#,##0">
                  <c:v>-1400000</c:v>
                </c:pt>
              </c:numCache>
            </c:numRef>
          </c:val>
        </c:ser>
        <c:ser>
          <c:idx val="1"/>
          <c:order val="1"/>
          <c:tx>
            <c:strRef>
              <c:f>'data for graph'!$O$15</c:f>
              <c:strCache>
                <c:ptCount val="1"/>
                <c:pt idx="0">
                  <c:v>Rejected Part of Request</c:v>
                </c:pt>
              </c:strCache>
            </c:strRef>
          </c:tx>
          <c:spPr>
            <a:gradFill rotWithShape="0">
              <a:gsLst>
                <a:gs pos="0">
                  <a:srgbClr val="00FF00"/>
                </a:gs>
                <a:gs pos="50000">
                  <a:srgbClr val="339966"/>
                </a:gs>
                <a:gs pos="100000">
                  <a:srgbClr val="00FF00"/>
                </a:gs>
              </a:gsLst>
              <a:lin ang="0" scaled="1"/>
            </a:gradFill>
            <a:ln w="25400">
              <a:noFill/>
            </a:ln>
          </c:spPr>
          <c:invertIfNegative val="0"/>
          <c:cat>
            <c:strLit>
              <c:ptCount val="1"/>
            </c:strLit>
          </c:cat>
          <c:val>
            <c:numRef>
              <c:f>'data for graph'!$P$15:$R$15</c:f>
              <c:numCache>
                <c:formatCode>General</c:formatCode>
                <c:ptCount val="3"/>
                <c:pt idx="0" formatCode="#,##0">
                  <c:v>0</c:v>
                </c:pt>
              </c:numCache>
            </c:numRef>
          </c:val>
        </c:ser>
        <c:ser>
          <c:idx val="2"/>
          <c:order val="2"/>
          <c:tx>
            <c:strRef>
              <c:f>'data for graph'!$O$16</c:f>
              <c:strCache>
                <c:ptCount val="1"/>
                <c:pt idx="0">
                  <c:v>Total Confirmed</c:v>
                </c:pt>
              </c:strCache>
            </c:strRef>
          </c:tx>
          <c:spPr>
            <a:gradFill rotWithShape="0">
              <a:gsLst>
                <a:gs pos="0">
                  <a:srgbClr val="FFCC00"/>
                </a:gs>
                <a:gs pos="50000">
                  <a:srgbClr val="FF6600"/>
                </a:gs>
                <a:gs pos="100000">
                  <a:srgbClr val="FFCC00"/>
                </a:gs>
              </a:gsLst>
              <a:lin ang="0" scaled="1"/>
            </a:gradFill>
            <a:ln w="25400">
              <a:noFill/>
            </a:ln>
          </c:spPr>
          <c:invertIfNegative val="0"/>
          <c:cat>
            <c:strLit>
              <c:ptCount val="1"/>
            </c:strLit>
          </c:cat>
          <c:val>
            <c:numRef>
              <c:f>'data for graph'!$P$16:$R$16</c:f>
              <c:numCache>
                <c:formatCode>#,##0</c:formatCode>
                <c:ptCount val="3"/>
                <c:pt idx="1">
                  <c:v>-1400000</c:v>
                </c:pt>
              </c:numCache>
            </c:numRef>
          </c:val>
        </c:ser>
        <c:ser>
          <c:idx val="4"/>
          <c:order val="3"/>
          <c:tx>
            <c:strRef>
              <c:f>'data for graph'!$O$17</c:f>
              <c:strCache>
                <c:ptCount val="1"/>
                <c:pt idx="0">
                  <c:v>Firm Injection Capacity</c:v>
                </c:pt>
              </c:strCache>
            </c:strRef>
          </c:tx>
          <c:spPr>
            <a:gradFill rotWithShape="0">
              <a:gsLst>
                <a:gs pos="0">
                  <a:srgbClr val="969696"/>
                </a:gs>
                <a:gs pos="50000">
                  <a:srgbClr val="333333"/>
                </a:gs>
                <a:gs pos="100000">
                  <a:srgbClr val="969696"/>
                </a:gs>
              </a:gsLst>
              <a:lin ang="0" scaled="1"/>
            </a:gradFill>
            <a:ln w="25400">
              <a:noFill/>
            </a:ln>
          </c:spPr>
          <c:invertIfNegative val="0"/>
          <c:cat>
            <c:strLit>
              <c:ptCount val="1"/>
            </c:strLit>
          </c:cat>
          <c:val>
            <c:numRef>
              <c:f>'data for graph'!$P$17:$R$17</c:f>
              <c:numCache>
                <c:formatCode>#,##0</c:formatCode>
                <c:ptCount val="3"/>
                <c:pt idx="2">
                  <c:v>1934188</c:v>
                </c:pt>
              </c:numCache>
            </c:numRef>
          </c:val>
        </c:ser>
        <c:ser>
          <c:idx val="5"/>
          <c:order val="4"/>
          <c:tx>
            <c:strRef>
              <c:f>'data for graph'!$O$18</c:f>
              <c:strCache>
                <c:ptCount val="1"/>
                <c:pt idx="0">
                  <c:v>Registered Injection Capacity</c:v>
                </c:pt>
              </c:strCache>
            </c:strRef>
          </c:tx>
          <c:spPr>
            <a:gradFill rotWithShape="0">
              <a:gsLst>
                <a:gs pos="0">
                  <a:srgbClr val="C0C0C0"/>
                </a:gs>
                <a:gs pos="50000">
                  <a:srgbClr val="808080"/>
                </a:gs>
                <a:gs pos="100000">
                  <a:srgbClr val="C0C0C0"/>
                </a:gs>
              </a:gsLst>
              <a:lin ang="0" scaled="1"/>
            </a:gradFill>
            <a:ln w="25400">
              <a:noFill/>
            </a:ln>
          </c:spPr>
          <c:invertIfNegative val="0"/>
          <c:cat>
            <c:strLit>
              <c:ptCount val="1"/>
            </c:strLit>
          </c:cat>
          <c:val>
            <c:numRef>
              <c:f>'data for graph'!$P$18:$R$18</c:f>
              <c:numCache>
                <c:formatCode>#,##0</c:formatCode>
                <c:ptCount val="3"/>
                <c:pt idx="2">
                  <c:v>627812</c:v>
                </c:pt>
              </c:numCache>
            </c:numRef>
          </c:val>
        </c:ser>
        <c:ser>
          <c:idx val="6"/>
          <c:order val="5"/>
          <c:tx>
            <c:strRef>
              <c:f>'data for graph'!$O$19</c:f>
              <c:strCache>
                <c:ptCount val="1"/>
                <c:pt idx="0">
                  <c:v>Firm Withdrawal Capacity</c:v>
                </c:pt>
              </c:strCache>
            </c:strRef>
          </c:tx>
          <c:spPr>
            <a:gradFill rotWithShape="0">
              <a:gsLst>
                <a:gs pos="0">
                  <a:srgbClr val="969696"/>
                </a:gs>
                <a:gs pos="50000">
                  <a:srgbClr val="333333"/>
                </a:gs>
                <a:gs pos="100000">
                  <a:srgbClr val="969696"/>
                </a:gs>
              </a:gsLst>
              <a:lin ang="0" scaled="1"/>
            </a:gradFill>
            <a:ln w="25400">
              <a:noFill/>
            </a:ln>
          </c:spPr>
          <c:invertIfNegative val="0"/>
          <c:cat>
            <c:strLit>
              <c:ptCount val="1"/>
            </c:strLit>
          </c:cat>
          <c:val>
            <c:numRef>
              <c:f>'data for graph'!$P$19:$R$19</c:f>
              <c:numCache>
                <c:formatCode>#,##0</c:formatCode>
                <c:ptCount val="3"/>
                <c:pt idx="2">
                  <c:v>-3473973</c:v>
                </c:pt>
              </c:numCache>
            </c:numRef>
          </c:val>
        </c:ser>
        <c:ser>
          <c:idx val="7"/>
          <c:order val="6"/>
          <c:tx>
            <c:strRef>
              <c:f>'data for graph'!$O$20</c:f>
              <c:strCache>
                <c:ptCount val="1"/>
                <c:pt idx="0">
                  <c:v>Registered Withdrawal Capacity</c:v>
                </c:pt>
              </c:strCache>
            </c:strRef>
          </c:tx>
          <c:spPr>
            <a:gradFill rotWithShape="0">
              <a:gsLst>
                <a:gs pos="0">
                  <a:srgbClr val="C0C0C0"/>
                </a:gs>
                <a:gs pos="50000">
                  <a:srgbClr val="808080"/>
                </a:gs>
                <a:gs pos="100000">
                  <a:srgbClr val="C0C0C0"/>
                </a:gs>
              </a:gsLst>
              <a:lin ang="0" scaled="1"/>
            </a:gradFill>
            <a:ln w="25400">
              <a:noFill/>
            </a:ln>
          </c:spPr>
          <c:invertIfNegative val="0"/>
          <c:cat>
            <c:strLit>
              <c:ptCount val="1"/>
            </c:strLit>
          </c:cat>
          <c:val>
            <c:numRef>
              <c:f>'data for graph'!$P$20:$R$20</c:f>
              <c:numCache>
                <c:formatCode>#,##0</c:formatCode>
                <c:ptCount val="3"/>
                <c:pt idx="2">
                  <c:v>-27</c:v>
                </c:pt>
              </c:numCache>
            </c:numRef>
          </c:val>
        </c:ser>
        <c:dLbls>
          <c:showLegendKey val="0"/>
          <c:showVal val="0"/>
          <c:showCatName val="0"/>
          <c:showSerName val="0"/>
          <c:showPercent val="0"/>
          <c:showBubbleSize val="0"/>
        </c:dLbls>
        <c:gapWidth val="10"/>
        <c:overlap val="100"/>
        <c:axId val="105824256"/>
        <c:axId val="105826176"/>
      </c:barChart>
      <c:catAx>
        <c:axId val="10582425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rtl="1">
              <a:defRPr sz="800" b="1" i="0" u="none" strike="noStrike" baseline="0">
                <a:solidFill>
                  <a:srgbClr val="333333"/>
                </a:solidFill>
                <a:latin typeface="Verdana"/>
                <a:ea typeface="Verdana"/>
                <a:cs typeface="Verdana"/>
              </a:defRPr>
            </a:pPr>
            <a:endParaRPr lang="en-US"/>
          </a:p>
        </c:txPr>
        <c:crossAx val="105826176"/>
        <c:crosses val="autoZero"/>
        <c:auto val="1"/>
        <c:lblAlgn val="ctr"/>
        <c:lblOffset val="100"/>
        <c:tickLblSkip val="1"/>
        <c:tickMarkSkip val="1"/>
        <c:noMultiLvlLbl val="0"/>
      </c:catAx>
      <c:valAx>
        <c:axId val="105826176"/>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Verdana"/>
                <a:ea typeface="Verdana"/>
                <a:cs typeface="Verdana"/>
              </a:defRPr>
            </a:pPr>
            <a:endParaRPr lang="en-US"/>
          </a:p>
        </c:txPr>
        <c:crossAx val="105824256"/>
        <c:crosses val="autoZero"/>
        <c:crossBetween val="between"/>
      </c:valAx>
      <c:spPr>
        <a:solidFill>
          <a:srgbClr val="FFFFFF"/>
        </a:solidFill>
        <a:ln w="25400">
          <a:noFill/>
        </a:ln>
      </c:spPr>
    </c:plotArea>
    <c:plotVisOnly val="1"/>
    <c:dispBlanksAs val="gap"/>
    <c:showDLblsOverMax val="0"/>
  </c:chart>
  <c:spPr>
    <a:noFill/>
    <a:ln w="9525">
      <a:noFill/>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8515625"/>
          <c:y val="8.8235294117647065E-2"/>
          <c:w val="0.75390625"/>
          <c:h val="0.86397058823529416"/>
        </c:manualLayout>
      </c:layout>
      <c:barChart>
        <c:barDir val="col"/>
        <c:grouping val="stacked"/>
        <c:varyColors val="0"/>
        <c:ser>
          <c:idx val="0"/>
          <c:order val="0"/>
          <c:tx>
            <c:strRef>
              <c:f>'data for graph'!$B$25</c:f>
              <c:strCache>
                <c:ptCount val="1"/>
                <c:pt idx="0">
                  <c:v>Request</c:v>
                </c:pt>
              </c:strCache>
            </c:strRef>
          </c:tx>
          <c:spPr>
            <a:gradFill rotWithShape="0">
              <a:gsLst>
                <a:gs pos="0">
                  <a:srgbClr val="339966"/>
                </a:gs>
                <a:gs pos="50000">
                  <a:srgbClr val="003300"/>
                </a:gs>
                <a:gs pos="100000">
                  <a:srgbClr val="339966"/>
                </a:gs>
              </a:gsLst>
              <a:lin ang="0" scaled="1"/>
            </a:gradFill>
            <a:ln w="25400">
              <a:noFill/>
            </a:ln>
          </c:spPr>
          <c:invertIfNegative val="0"/>
          <c:cat>
            <c:strLit>
              <c:ptCount val="1"/>
            </c:strLit>
          </c:cat>
          <c:val>
            <c:numRef>
              <c:f>'data for graph'!$C$25:$N$25</c:f>
              <c:numCache>
                <c:formatCode>General</c:formatCode>
                <c:ptCount val="12"/>
                <c:pt idx="0" formatCode="#,##0">
                  <c:v>-700000</c:v>
                </c:pt>
                <c:pt idx="4" formatCode="#,##0">
                  <c:v>1300000</c:v>
                </c:pt>
                <c:pt idx="8" formatCode="#,##0">
                  <c:v>-500000</c:v>
                </c:pt>
              </c:numCache>
            </c:numRef>
          </c:val>
        </c:ser>
        <c:ser>
          <c:idx val="1"/>
          <c:order val="1"/>
          <c:tx>
            <c:strRef>
              <c:f>'data for graph'!$B$26</c:f>
              <c:strCache>
                <c:ptCount val="1"/>
                <c:pt idx="0">
                  <c:v>Rejected Part of Request</c:v>
                </c:pt>
              </c:strCache>
            </c:strRef>
          </c:tx>
          <c:spPr>
            <a:gradFill rotWithShape="0">
              <a:gsLst>
                <a:gs pos="0">
                  <a:srgbClr val="00FF00"/>
                </a:gs>
                <a:gs pos="50000">
                  <a:srgbClr val="339966"/>
                </a:gs>
                <a:gs pos="100000">
                  <a:srgbClr val="00FF00"/>
                </a:gs>
              </a:gsLst>
              <a:lin ang="0" scaled="1"/>
            </a:gradFill>
            <a:ln w="25400">
              <a:noFill/>
            </a:ln>
          </c:spPr>
          <c:invertIfNegative val="0"/>
          <c:cat>
            <c:strLit>
              <c:ptCount val="1"/>
            </c:strLit>
          </c:cat>
          <c:val>
            <c:numRef>
              <c:f>'data for graph'!$C$26:$N$26</c:f>
              <c:numCache>
                <c:formatCode>General</c:formatCode>
                <c:ptCount val="12"/>
                <c:pt idx="0" formatCode="#,##0">
                  <c:v>0</c:v>
                </c:pt>
                <c:pt idx="4" formatCode="#,##0">
                  <c:v>0</c:v>
                </c:pt>
                <c:pt idx="8" formatCode="#,##0">
                  <c:v>0</c:v>
                </c:pt>
              </c:numCache>
            </c:numRef>
          </c:val>
        </c:ser>
        <c:ser>
          <c:idx val="2"/>
          <c:order val="2"/>
          <c:tx>
            <c:strRef>
              <c:f>'data for graph'!$B$27</c:f>
              <c:strCache>
                <c:ptCount val="1"/>
                <c:pt idx="0">
                  <c:v>Confirmed Firm</c:v>
                </c:pt>
              </c:strCache>
            </c:strRef>
          </c:tx>
          <c:spPr>
            <a:gradFill rotWithShape="0">
              <a:gsLst>
                <a:gs pos="0">
                  <a:srgbClr val="0000FF"/>
                </a:gs>
                <a:gs pos="50000">
                  <a:srgbClr val="000080"/>
                </a:gs>
                <a:gs pos="100000">
                  <a:srgbClr val="0000FF"/>
                </a:gs>
              </a:gsLst>
              <a:lin ang="0" scaled="1"/>
            </a:gradFill>
            <a:ln w="25400">
              <a:noFill/>
            </a:ln>
          </c:spPr>
          <c:invertIfNegative val="0"/>
          <c:cat>
            <c:strLit>
              <c:ptCount val="1"/>
            </c:strLit>
          </c:cat>
          <c:val>
            <c:numRef>
              <c:f>'data for graph'!$C$27:$N$27</c:f>
              <c:numCache>
                <c:formatCode>#,##0</c:formatCode>
                <c:ptCount val="12"/>
                <c:pt idx="1">
                  <c:v>-579000</c:v>
                </c:pt>
                <c:pt idx="5">
                  <c:v>967166</c:v>
                </c:pt>
                <c:pt idx="9">
                  <c:v>-500000</c:v>
                </c:pt>
              </c:numCache>
            </c:numRef>
          </c:val>
        </c:ser>
        <c:ser>
          <c:idx val="3"/>
          <c:order val="3"/>
          <c:tx>
            <c:strRef>
              <c:f>'data for graph'!$B$28</c:f>
              <c:strCache>
                <c:ptCount val="1"/>
                <c:pt idx="0">
                  <c:v>Confirmed Interruptable</c:v>
                </c:pt>
              </c:strCache>
            </c:strRef>
          </c:tx>
          <c:spPr>
            <a:gradFill rotWithShape="0">
              <a:gsLst>
                <a:gs pos="0">
                  <a:srgbClr val="00CCFF"/>
                </a:gs>
                <a:gs pos="50000">
                  <a:srgbClr val="3366FF"/>
                </a:gs>
                <a:gs pos="100000">
                  <a:srgbClr val="00CCFF"/>
                </a:gs>
              </a:gsLst>
              <a:lin ang="0" scaled="1"/>
            </a:gradFill>
            <a:ln w="25400">
              <a:noFill/>
            </a:ln>
          </c:spPr>
          <c:invertIfNegative val="0"/>
          <c:cat>
            <c:strLit>
              <c:ptCount val="1"/>
            </c:strLit>
          </c:cat>
          <c:val>
            <c:numRef>
              <c:f>'data for graph'!$C$28:$N$28</c:f>
              <c:numCache>
                <c:formatCode>#,##0</c:formatCode>
                <c:ptCount val="12"/>
                <c:pt idx="1">
                  <c:v>-121000</c:v>
                </c:pt>
                <c:pt idx="5">
                  <c:v>232834</c:v>
                </c:pt>
                <c:pt idx="9">
                  <c:v>0</c:v>
                </c:pt>
              </c:numCache>
            </c:numRef>
          </c:val>
        </c:ser>
        <c:ser>
          <c:idx val="4"/>
          <c:order val="4"/>
          <c:tx>
            <c:strRef>
              <c:f>'data for graph'!$B$29</c:f>
              <c:strCache>
                <c:ptCount val="1"/>
                <c:pt idx="0">
                  <c:v>Firm Injection Capacity</c:v>
                </c:pt>
              </c:strCache>
            </c:strRef>
          </c:tx>
          <c:spPr>
            <a:gradFill rotWithShape="0">
              <a:gsLst>
                <a:gs pos="0">
                  <a:srgbClr val="969696"/>
                </a:gs>
                <a:gs pos="50000">
                  <a:srgbClr val="333333"/>
                </a:gs>
                <a:gs pos="100000">
                  <a:srgbClr val="969696"/>
                </a:gs>
              </a:gsLst>
              <a:lin ang="0" scaled="1"/>
            </a:gradFill>
            <a:ln w="25400">
              <a:noFill/>
            </a:ln>
          </c:spPr>
          <c:invertIfNegative val="0"/>
          <c:cat>
            <c:strLit>
              <c:ptCount val="1"/>
            </c:strLit>
          </c:cat>
          <c:val>
            <c:numRef>
              <c:f>'data for graph'!$C$29:$N$29</c:f>
              <c:numCache>
                <c:formatCode>#,##0</c:formatCode>
                <c:ptCount val="12"/>
                <c:pt idx="2">
                  <c:v>322341</c:v>
                </c:pt>
                <c:pt idx="6">
                  <c:v>967166</c:v>
                </c:pt>
                <c:pt idx="10">
                  <c:v>644681</c:v>
                </c:pt>
              </c:numCache>
            </c:numRef>
          </c:val>
        </c:ser>
        <c:ser>
          <c:idx val="5"/>
          <c:order val="5"/>
          <c:tx>
            <c:strRef>
              <c:f>'data for graph'!$B$30</c:f>
              <c:strCache>
                <c:ptCount val="1"/>
                <c:pt idx="0">
                  <c:v>Registered Injection Capacity</c:v>
                </c:pt>
              </c:strCache>
            </c:strRef>
          </c:tx>
          <c:spPr>
            <a:gradFill rotWithShape="0">
              <a:gsLst>
                <a:gs pos="0">
                  <a:srgbClr val="C0C0C0"/>
                </a:gs>
                <a:gs pos="50000">
                  <a:srgbClr val="808080"/>
                </a:gs>
                <a:gs pos="100000">
                  <a:srgbClr val="C0C0C0"/>
                </a:gs>
              </a:gsLst>
              <a:lin ang="0" scaled="1"/>
            </a:gradFill>
            <a:ln w="25400">
              <a:noFill/>
            </a:ln>
          </c:spPr>
          <c:invertIfNegative val="0"/>
          <c:cat>
            <c:strLit>
              <c:ptCount val="1"/>
            </c:strLit>
          </c:cat>
          <c:val>
            <c:numRef>
              <c:f>'data for graph'!$C$30:$N$30</c:f>
              <c:numCache>
                <c:formatCode>#,##0</c:formatCode>
                <c:ptCount val="12"/>
                <c:pt idx="2">
                  <c:v>104659</c:v>
                </c:pt>
                <c:pt idx="6">
                  <c:v>313834</c:v>
                </c:pt>
                <c:pt idx="10">
                  <c:v>209319</c:v>
                </c:pt>
              </c:numCache>
            </c:numRef>
          </c:val>
        </c:ser>
        <c:ser>
          <c:idx val="6"/>
          <c:order val="6"/>
          <c:tx>
            <c:strRef>
              <c:f>'data for graph'!$B$31</c:f>
              <c:strCache>
                <c:ptCount val="1"/>
                <c:pt idx="0">
                  <c:v>Firm Withdrawal Capacity</c:v>
                </c:pt>
              </c:strCache>
            </c:strRef>
          </c:tx>
          <c:spPr>
            <a:gradFill rotWithShape="0">
              <a:gsLst>
                <a:gs pos="0">
                  <a:srgbClr val="969696"/>
                </a:gs>
                <a:gs pos="50000">
                  <a:srgbClr val="333333"/>
                </a:gs>
                <a:gs pos="100000">
                  <a:srgbClr val="969696"/>
                </a:gs>
              </a:gsLst>
              <a:lin ang="0" scaled="1"/>
            </a:gradFill>
            <a:ln w="25400">
              <a:noFill/>
            </a:ln>
          </c:spPr>
          <c:invertIfNegative val="0"/>
          <c:cat>
            <c:strLit>
              <c:ptCount val="1"/>
            </c:strLit>
          </c:cat>
          <c:val>
            <c:numRef>
              <c:f>'data for graph'!$C$31:$N$31</c:f>
              <c:numCache>
                <c:formatCode>#,##0</c:formatCode>
                <c:ptCount val="12"/>
                <c:pt idx="2">
                  <c:v>-579000</c:v>
                </c:pt>
                <c:pt idx="6">
                  <c:v>-1736973</c:v>
                </c:pt>
                <c:pt idx="10">
                  <c:v>-1158000</c:v>
                </c:pt>
              </c:numCache>
            </c:numRef>
          </c:val>
        </c:ser>
        <c:ser>
          <c:idx val="7"/>
          <c:order val="7"/>
          <c:tx>
            <c:strRef>
              <c:f>'data for graph'!$B$32</c:f>
              <c:strCache>
                <c:ptCount val="1"/>
                <c:pt idx="0">
                  <c:v>Registered Withdrawal Capacity</c:v>
                </c:pt>
              </c:strCache>
            </c:strRef>
          </c:tx>
          <c:spPr>
            <a:gradFill rotWithShape="0">
              <a:gsLst>
                <a:gs pos="0">
                  <a:srgbClr val="C0C0C0"/>
                </a:gs>
                <a:gs pos="50000">
                  <a:srgbClr val="808080"/>
                </a:gs>
                <a:gs pos="100000">
                  <a:srgbClr val="C0C0C0"/>
                </a:gs>
              </a:gsLst>
              <a:lin ang="0" scaled="1"/>
            </a:gradFill>
            <a:ln w="25400">
              <a:noFill/>
            </a:ln>
          </c:spPr>
          <c:invertIfNegative val="0"/>
          <c:cat>
            <c:strLit>
              <c:ptCount val="1"/>
            </c:strLit>
          </c:cat>
          <c:val>
            <c:numRef>
              <c:f>'data for graph'!$C$32:$N$32</c:f>
              <c:numCache>
                <c:formatCode>#,##0</c:formatCode>
                <c:ptCount val="12"/>
                <c:pt idx="2">
                  <c:v>0</c:v>
                </c:pt>
                <c:pt idx="6">
                  <c:v>-27</c:v>
                </c:pt>
                <c:pt idx="10">
                  <c:v>0</c:v>
                </c:pt>
              </c:numCache>
            </c:numRef>
          </c:val>
        </c:ser>
        <c:dLbls>
          <c:showLegendKey val="0"/>
          <c:showVal val="0"/>
          <c:showCatName val="0"/>
          <c:showSerName val="0"/>
          <c:showPercent val="0"/>
          <c:showBubbleSize val="0"/>
        </c:dLbls>
        <c:gapWidth val="10"/>
        <c:overlap val="100"/>
        <c:axId val="134195840"/>
        <c:axId val="205468032"/>
      </c:barChart>
      <c:catAx>
        <c:axId val="134195840"/>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800" b="1" i="0" u="none" strike="noStrike" baseline="0">
                <a:solidFill>
                  <a:srgbClr val="333333"/>
                </a:solidFill>
                <a:latin typeface="Verdana"/>
                <a:ea typeface="Verdana"/>
                <a:cs typeface="Verdana"/>
              </a:defRPr>
            </a:pPr>
            <a:endParaRPr lang="en-US"/>
          </a:p>
        </c:txPr>
        <c:crossAx val="205468032"/>
        <c:crosses val="autoZero"/>
        <c:auto val="1"/>
        <c:lblAlgn val="ctr"/>
        <c:lblOffset val="100"/>
        <c:tickLblSkip val="1"/>
        <c:tickMarkSkip val="1"/>
        <c:noMultiLvlLbl val="0"/>
      </c:catAx>
      <c:valAx>
        <c:axId val="205468032"/>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rtl="1">
              <a:defRPr sz="800" b="0" i="0" u="none" strike="noStrike" baseline="0">
                <a:solidFill>
                  <a:srgbClr val="333333"/>
                </a:solidFill>
                <a:latin typeface="Verdana"/>
                <a:ea typeface="Verdana"/>
                <a:cs typeface="Verdana"/>
              </a:defRPr>
            </a:pPr>
            <a:endParaRPr lang="en-US"/>
          </a:p>
        </c:txPr>
        <c:crossAx val="134195840"/>
        <c:crosses val="autoZero"/>
        <c:crossBetween val="between"/>
      </c:valAx>
      <c:spPr>
        <a:solidFill>
          <a:srgbClr val="FFFFFF"/>
        </a:solidFill>
        <a:ln w="25400">
          <a:noFill/>
        </a:ln>
      </c:spPr>
    </c:plotArea>
    <c:plotVisOnly val="1"/>
    <c:dispBlanksAs val="gap"/>
    <c:showDLblsOverMax val="0"/>
  </c:chart>
  <c:spPr>
    <a:no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053925918562171"/>
          <c:y val="8.9219330855018583E-2"/>
          <c:w val="0.28742556989376211"/>
          <c:h val="0.86245353159851301"/>
        </c:manualLayout>
      </c:layout>
      <c:barChart>
        <c:barDir val="col"/>
        <c:grouping val="stacked"/>
        <c:varyColors val="0"/>
        <c:ser>
          <c:idx val="0"/>
          <c:order val="0"/>
          <c:tx>
            <c:strRef>
              <c:f>'data for graph'!$O$25</c:f>
              <c:strCache>
                <c:ptCount val="1"/>
                <c:pt idx="0">
                  <c:v>Request</c:v>
                </c:pt>
              </c:strCache>
            </c:strRef>
          </c:tx>
          <c:spPr>
            <a:gradFill rotWithShape="0">
              <a:gsLst>
                <a:gs pos="0">
                  <a:srgbClr val="339966"/>
                </a:gs>
                <a:gs pos="50000">
                  <a:srgbClr val="003300"/>
                </a:gs>
                <a:gs pos="100000">
                  <a:srgbClr val="339966"/>
                </a:gs>
              </a:gsLst>
              <a:lin ang="0" scaled="1"/>
            </a:gradFill>
            <a:ln w="25400">
              <a:noFill/>
            </a:ln>
          </c:spPr>
          <c:invertIfNegative val="0"/>
          <c:cat>
            <c:strLit>
              <c:ptCount val="1"/>
            </c:strLit>
          </c:cat>
          <c:val>
            <c:numRef>
              <c:f>'data for graph'!$P$25:$R$25</c:f>
              <c:numCache>
                <c:formatCode>General</c:formatCode>
                <c:ptCount val="3"/>
                <c:pt idx="0" formatCode="#,##0">
                  <c:v>100000</c:v>
                </c:pt>
              </c:numCache>
            </c:numRef>
          </c:val>
        </c:ser>
        <c:ser>
          <c:idx val="1"/>
          <c:order val="1"/>
          <c:tx>
            <c:strRef>
              <c:f>'data for graph'!$O$26</c:f>
              <c:strCache>
                <c:ptCount val="1"/>
                <c:pt idx="0">
                  <c:v>Rejected Part of Request</c:v>
                </c:pt>
              </c:strCache>
            </c:strRef>
          </c:tx>
          <c:spPr>
            <a:gradFill rotWithShape="0">
              <a:gsLst>
                <a:gs pos="0">
                  <a:srgbClr val="00FF00"/>
                </a:gs>
                <a:gs pos="50000">
                  <a:srgbClr val="339966"/>
                </a:gs>
                <a:gs pos="100000">
                  <a:srgbClr val="00FF00"/>
                </a:gs>
              </a:gsLst>
              <a:lin ang="0" scaled="1"/>
            </a:gradFill>
            <a:ln w="25400">
              <a:noFill/>
            </a:ln>
          </c:spPr>
          <c:invertIfNegative val="0"/>
          <c:cat>
            <c:strLit>
              <c:ptCount val="1"/>
            </c:strLit>
          </c:cat>
          <c:val>
            <c:numRef>
              <c:f>'data for graph'!$P$26:$R$26</c:f>
              <c:numCache>
                <c:formatCode>General</c:formatCode>
                <c:ptCount val="3"/>
                <c:pt idx="0" formatCode="#,##0">
                  <c:v>0</c:v>
                </c:pt>
              </c:numCache>
            </c:numRef>
          </c:val>
        </c:ser>
        <c:ser>
          <c:idx val="2"/>
          <c:order val="2"/>
          <c:tx>
            <c:strRef>
              <c:f>'data for graph'!$O$27</c:f>
              <c:strCache>
                <c:ptCount val="1"/>
                <c:pt idx="0">
                  <c:v>Total Confirmed</c:v>
                </c:pt>
              </c:strCache>
            </c:strRef>
          </c:tx>
          <c:spPr>
            <a:gradFill rotWithShape="0">
              <a:gsLst>
                <a:gs pos="0">
                  <a:srgbClr val="0000FF"/>
                </a:gs>
                <a:gs pos="50000">
                  <a:srgbClr val="000080"/>
                </a:gs>
                <a:gs pos="100000">
                  <a:srgbClr val="0000FF"/>
                </a:gs>
              </a:gsLst>
              <a:lin ang="0" scaled="1"/>
            </a:gradFill>
            <a:ln w="25400">
              <a:noFill/>
            </a:ln>
          </c:spPr>
          <c:invertIfNegative val="0"/>
          <c:cat>
            <c:strLit>
              <c:ptCount val="1"/>
            </c:strLit>
          </c:cat>
          <c:val>
            <c:numRef>
              <c:f>'data for graph'!$P$27:$R$27</c:f>
              <c:numCache>
                <c:formatCode>#,##0</c:formatCode>
                <c:ptCount val="3"/>
                <c:pt idx="1">
                  <c:v>0</c:v>
                </c:pt>
              </c:numCache>
            </c:numRef>
          </c:val>
        </c:ser>
        <c:ser>
          <c:idx val="4"/>
          <c:order val="3"/>
          <c:tx>
            <c:strRef>
              <c:f>'data for graph'!$O$28</c:f>
              <c:strCache>
                <c:ptCount val="1"/>
                <c:pt idx="0">
                  <c:v>Firm Injection Capacity</c:v>
                </c:pt>
              </c:strCache>
            </c:strRef>
          </c:tx>
          <c:spPr>
            <a:gradFill rotWithShape="0">
              <a:gsLst>
                <a:gs pos="0">
                  <a:srgbClr val="969696"/>
                </a:gs>
                <a:gs pos="50000">
                  <a:srgbClr val="333333"/>
                </a:gs>
                <a:gs pos="100000">
                  <a:srgbClr val="969696"/>
                </a:gs>
              </a:gsLst>
              <a:lin ang="0" scaled="1"/>
            </a:gradFill>
            <a:ln w="25400">
              <a:noFill/>
            </a:ln>
          </c:spPr>
          <c:invertIfNegative val="0"/>
          <c:cat>
            <c:strLit>
              <c:ptCount val="1"/>
            </c:strLit>
          </c:cat>
          <c:val>
            <c:numRef>
              <c:f>'data for graph'!$P$28:$R$28</c:f>
              <c:numCache>
                <c:formatCode>#,##0</c:formatCode>
                <c:ptCount val="3"/>
                <c:pt idx="2">
                  <c:v>1934188</c:v>
                </c:pt>
              </c:numCache>
            </c:numRef>
          </c:val>
        </c:ser>
        <c:ser>
          <c:idx val="5"/>
          <c:order val="4"/>
          <c:tx>
            <c:strRef>
              <c:f>'data for graph'!$O$29</c:f>
              <c:strCache>
                <c:ptCount val="1"/>
                <c:pt idx="0">
                  <c:v>Registered Injection Capacity</c:v>
                </c:pt>
              </c:strCache>
            </c:strRef>
          </c:tx>
          <c:spPr>
            <a:gradFill rotWithShape="0">
              <a:gsLst>
                <a:gs pos="0">
                  <a:srgbClr val="C0C0C0"/>
                </a:gs>
                <a:gs pos="50000">
                  <a:srgbClr val="808080"/>
                </a:gs>
                <a:gs pos="100000">
                  <a:srgbClr val="C0C0C0"/>
                </a:gs>
              </a:gsLst>
              <a:lin ang="0" scaled="1"/>
            </a:gradFill>
            <a:ln w="25400">
              <a:noFill/>
            </a:ln>
          </c:spPr>
          <c:invertIfNegative val="0"/>
          <c:cat>
            <c:strLit>
              <c:ptCount val="1"/>
            </c:strLit>
          </c:cat>
          <c:val>
            <c:numRef>
              <c:f>'data for graph'!$P$29:$R$29</c:f>
              <c:numCache>
                <c:formatCode>#,##0</c:formatCode>
                <c:ptCount val="3"/>
                <c:pt idx="2">
                  <c:v>627812</c:v>
                </c:pt>
              </c:numCache>
            </c:numRef>
          </c:val>
        </c:ser>
        <c:ser>
          <c:idx val="6"/>
          <c:order val="5"/>
          <c:tx>
            <c:strRef>
              <c:f>'data for graph'!$O$30</c:f>
              <c:strCache>
                <c:ptCount val="1"/>
                <c:pt idx="0">
                  <c:v>Firm Withdrawal Capacity</c:v>
                </c:pt>
              </c:strCache>
            </c:strRef>
          </c:tx>
          <c:spPr>
            <a:gradFill rotWithShape="0">
              <a:gsLst>
                <a:gs pos="0">
                  <a:srgbClr val="969696"/>
                </a:gs>
                <a:gs pos="50000">
                  <a:srgbClr val="333333"/>
                </a:gs>
                <a:gs pos="100000">
                  <a:srgbClr val="969696"/>
                </a:gs>
              </a:gsLst>
              <a:lin ang="0" scaled="1"/>
            </a:gradFill>
            <a:ln w="25400">
              <a:noFill/>
            </a:ln>
          </c:spPr>
          <c:invertIfNegative val="0"/>
          <c:cat>
            <c:strLit>
              <c:ptCount val="1"/>
            </c:strLit>
          </c:cat>
          <c:val>
            <c:numRef>
              <c:f>'data for graph'!$P$30:$R$30</c:f>
              <c:numCache>
                <c:formatCode>#,##0</c:formatCode>
                <c:ptCount val="3"/>
                <c:pt idx="2">
                  <c:v>-3473973</c:v>
                </c:pt>
              </c:numCache>
            </c:numRef>
          </c:val>
        </c:ser>
        <c:ser>
          <c:idx val="7"/>
          <c:order val="6"/>
          <c:tx>
            <c:strRef>
              <c:f>'data for graph'!$O$31</c:f>
              <c:strCache>
                <c:ptCount val="1"/>
                <c:pt idx="0">
                  <c:v>Registered Withdrawal Capacity</c:v>
                </c:pt>
              </c:strCache>
            </c:strRef>
          </c:tx>
          <c:spPr>
            <a:gradFill rotWithShape="0">
              <a:gsLst>
                <a:gs pos="0">
                  <a:srgbClr val="C0C0C0"/>
                </a:gs>
                <a:gs pos="50000">
                  <a:srgbClr val="808080"/>
                </a:gs>
                <a:gs pos="100000">
                  <a:srgbClr val="C0C0C0"/>
                </a:gs>
              </a:gsLst>
              <a:lin ang="0" scaled="1"/>
            </a:gradFill>
            <a:ln w="25400">
              <a:noFill/>
            </a:ln>
          </c:spPr>
          <c:invertIfNegative val="0"/>
          <c:cat>
            <c:strLit>
              <c:ptCount val="1"/>
            </c:strLit>
          </c:cat>
          <c:val>
            <c:numRef>
              <c:f>'data for graph'!$P$31:$R$31</c:f>
              <c:numCache>
                <c:formatCode>#,##0</c:formatCode>
                <c:ptCount val="3"/>
                <c:pt idx="2">
                  <c:v>-27</c:v>
                </c:pt>
              </c:numCache>
            </c:numRef>
          </c:val>
        </c:ser>
        <c:dLbls>
          <c:showLegendKey val="0"/>
          <c:showVal val="0"/>
          <c:showCatName val="0"/>
          <c:showSerName val="0"/>
          <c:showPercent val="0"/>
          <c:showBubbleSize val="0"/>
        </c:dLbls>
        <c:gapWidth val="10"/>
        <c:overlap val="100"/>
        <c:axId val="381745792"/>
        <c:axId val="381858560"/>
      </c:barChart>
      <c:catAx>
        <c:axId val="38174579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rtl="1">
              <a:defRPr sz="800" b="1" i="0" u="none" strike="noStrike" baseline="0">
                <a:solidFill>
                  <a:srgbClr val="333333"/>
                </a:solidFill>
                <a:latin typeface="Verdana"/>
                <a:ea typeface="Verdana"/>
                <a:cs typeface="Verdana"/>
              </a:defRPr>
            </a:pPr>
            <a:endParaRPr lang="en-US"/>
          </a:p>
        </c:txPr>
        <c:crossAx val="381858560"/>
        <c:crosses val="autoZero"/>
        <c:auto val="1"/>
        <c:lblAlgn val="ctr"/>
        <c:lblOffset val="100"/>
        <c:tickLblSkip val="1"/>
        <c:tickMarkSkip val="1"/>
        <c:noMultiLvlLbl val="0"/>
      </c:catAx>
      <c:valAx>
        <c:axId val="381858560"/>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Verdana"/>
                <a:ea typeface="Verdana"/>
                <a:cs typeface="Verdana"/>
              </a:defRPr>
            </a:pPr>
            <a:endParaRPr lang="en-US"/>
          </a:p>
        </c:txPr>
        <c:crossAx val="381745792"/>
        <c:crosses val="autoZero"/>
        <c:crossBetween val="between"/>
      </c:valAx>
      <c:spPr>
        <a:solidFill>
          <a:srgbClr val="FFFFFF"/>
        </a:solidFill>
        <a:ln w="25400">
          <a:noFill/>
        </a:ln>
      </c:spPr>
    </c:plotArea>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8515625"/>
          <c:y val="8.8561045176006783E-2"/>
          <c:w val="0.740234375"/>
          <c:h val="0.86347019046606621"/>
        </c:manualLayout>
      </c:layout>
      <c:barChart>
        <c:barDir val="col"/>
        <c:grouping val="stacked"/>
        <c:varyColors val="0"/>
        <c:ser>
          <c:idx val="0"/>
          <c:order val="0"/>
          <c:tx>
            <c:strRef>
              <c:f>'data for graph'!$B$36</c:f>
              <c:strCache>
                <c:ptCount val="1"/>
                <c:pt idx="0">
                  <c:v>Request</c:v>
                </c:pt>
              </c:strCache>
            </c:strRef>
          </c:tx>
          <c:spPr>
            <a:gradFill rotWithShape="0">
              <a:gsLst>
                <a:gs pos="0">
                  <a:srgbClr val="339966"/>
                </a:gs>
                <a:gs pos="50000">
                  <a:srgbClr val="003300"/>
                </a:gs>
                <a:gs pos="100000">
                  <a:srgbClr val="339966"/>
                </a:gs>
              </a:gsLst>
              <a:lin ang="0" scaled="1"/>
            </a:gradFill>
            <a:ln w="25400">
              <a:noFill/>
            </a:ln>
          </c:spPr>
          <c:invertIfNegative val="0"/>
          <c:cat>
            <c:strLit>
              <c:ptCount val="1"/>
            </c:strLit>
          </c:cat>
          <c:val>
            <c:numRef>
              <c:f>'data for graph'!$C$36:$N$36</c:f>
              <c:numCache>
                <c:formatCode>General</c:formatCode>
                <c:ptCount val="12"/>
                <c:pt idx="0" formatCode="#,##0">
                  <c:v>0</c:v>
                </c:pt>
                <c:pt idx="4" formatCode="#,##0">
                  <c:v>1200000</c:v>
                </c:pt>
                <c:pt idx="8" formatCode="#,##0">
                  <c:v>-200000</c:v>
                </c:pt>
              </c:numCache>
            </c:numRef>
          </c:val>
        </c:ser>
        <c:ser>
          <c:idx val="1"/>
          <c:order val="1"/>
          <c:tx>
            <c:strRef>
              <c:f>'data for graph'!$B$37</c:f>
              <c:strCache>
                <c:ptCount val="1"/>
                <c:pt idx="0">
                  <c:v>Rejected Part of Request</c:v>
                </c:pt>
              </c:strCache>
            </c:strRef>
          </c:tx>
          <c:spPr>
            <a:gradFill rotWithShape="0">
              <a:gsLst>
                <a:gs pos="0">
                  <a:srgbClr val="00FF00"/>
                </a:gs>
                <a:gs pos="50000">
                  <a:srgbClr val="339966"/>
                </a:gs>
                <a:gs pos="100000">
                  <a:srgbClr val="00FF00"/>
                </a:gs>
              </a:gsLst>
              <a:lin ang="0" scaled="1"/>
            </a:gradFill>
            <a:ln w="25400">
              <a:noFill/>
            </a:ln>
          </c:spPr>
          <c:invertIfNegative val="0"/>
          <c:cat>
            <c:strLit>
              <c:ptCount val="1"/>
            </c:strLit>
          </c:cat>
          <c:val>
            <c:numRef>
              <c:f>'data for graph'!$C$37:$N$37</c:f>
              <c:numCache>
                <c:formatCode>General</c:formatCode>
                <c:ptCount val="12"/>
                <c:pt idx="0" formatCode="#,##0">
                  <c:v>200000</c:v>
                </c:pt>
                <c:pt idx="4" formatCode="#,##0">
                  <c:v>0</c:v>
                </c:pt>
                <c:pt idx="8" formatCode="#,##0">
                  <c:v>0</c:v>
                </c:pt>
              </c:numCache>
            </c:numRef>
          </c:val>
        </c:ser>
        <c:ser>
          <c:idx val="2"/>
          <c:order val="2"/>
          <c:tx>
            <c:strRef>
              <c:f>'data for graph'!$B$38</c:f>
              <c:strCache>
                <c:ptCount val="1"/>
                <c:pt idx="0">
                  <c:v>Confirmed Firm</c:v>
                </c:pt>
              </c:strCache>
            </c:strRef>
          </c:tx>
          <c:spPr>
            <a:gradFill rotWithShape="0">
              <a:gsLst>
                <a:gs pos="0">
                  <a:srgbClr val="0000FF"/>
                </a:gs>
                <a:gs pos="50000">
                  <a:srgbClr val="000080"/>
                </a:gs>
                <a:gs pos="100000">
                  <a:srgbClr val="0000FF"/>
                </a:gs>
              </a:gsLst>
              <a:lin ang="0" scaled="1"/>
            </a:gradFill>
            <a:ln w="25400">
              <a:noFill/>
            </a:ln>
          </c:spPr>
          <c:invertIfNegative val="0"/>
          <c:cat>
            <c:strLit>
              <c:ptCount val="1"/>
            </c:strLit>
          </c:cat>
          <c:val>
            <c:numRef>
              <c:f>'data for graph'!$C$38:$N$38</c:f>
              <c:numCache>
                <c:formatCode>#,##0</c:formatCode>
                <c:ptCount val="12"/>
                <c:pt idx="1">
                  <c:v>0</c:v>
                </c:pt>
                <c:pt idx="5">
                  <c:v>967166</c:v>
                </c:pt>
                <c:pt idx="9">
                  <c:v>-200000</c:v>
                </c:pt>
              </c:numCache>
            </c:numRef>
          </c:val>
        </c:ser>
        <c:ser>
          <c:idx val="3"/>
          <c:order val="3"/>
          <c:tx>
            <c:strRef>
              <c:f>'data for graph'!$B$39</c:f>
              <c:strCache>
                <c:ptCount val="1"/>
                <c:pt idx="0">
                  <c:v>Confirmed Interruptable</c:v>
                </c:pt>
              </c:strCache>
            </c:strRef>
          </c:tx>
          <c:spPr>
            <a:gradFill rotWithShape="0">
              <a:gsLst>
                <a:gs pos="0">
                  <a:srgbClr val="00CCFF"/>
                </a:gs>
                <a:gs pos="50000">
                  <a:srgbClr val="3366FF"/>
                </a:gs>
                <a:gs pos="100000">
                  <a:srgbClr val="00CCFF"/>
                </a:gs>
              </a:gsLst>
              <a:lin ang="0" scaled="1"/>
            </a:gradFill>
            <a:ln w="25400">
              <a:noFill/>
            </a:ln>
          </c:spPr>
          <c:invertIfNegative val="0"/>
          <c:cat>
            <c:strLit>
              <c:ptCount val="1"/>
            </c:strLit>
          </c:cat>
          <c:val>
            <c:numRef>
              <c:f>'data for graph'!$C$39:$N$39</c:f>
              <c:numCache>
                <c:formatCode>#,##0</c:formatCode>
                <c:ptCount val="12"/>
                <c:pt idx="1">
                  <c:v>0</c:v>
                </c:pt>
                <c:pt idx="5">
                  <c:v>0</c:v>
                </c:pt>
                <c:pt idx="9">
                  <c:v>0</c:v>
                </c:pt>
              </c:numCache>
            </c:numRef>
          </c:val>
        </c:ser>
        <c:ser>
          <c:idx val="4"/>
          <c:order val="4"/>
          <c:tx>
            <c:strRef>
              <c:f>'data for graph'!$B$41</c:f>
              <c:strCache>
                <c:ptCount val="1"/>
                <c:pt idx="0">
                  <c:v>Firm Injection Capacity</c:v>
                </c:pt>
              </c:strCache>
            </c:strRef>
          </c:tx>
          <c:spPr>
            <a:gradFill rotWithShape="0">
              <a:gsLst>
                <a:gs pos="0">
                  <a:srgbClr val="969696"/>
                </a:gs>
                <a:gs pos="50000">
                  <a:srgbClr val="333333"/>
                </a:gs>
                <a:gs pos="100000">
                  <a:srgbClr val="969696"/>
                </a:gs>
              </a:gsLst>
              <a:lin ang="0" scaled="1"/>
            </a:gradFill>
            <a:ln w="25400">
              <a:noFill/>
            </a:ln>
          </c:spPr>
          <c:invertIfNegative val="0"/>
          <c:cat>
            <c:strLit>
              <c:ptCount val="1"/>
            </c:strLit>
          </c:cat>
          <c:val>
            <c:numRef>
              <c:f>'data for graph'!$C$41:$N$41</c:f>
              <c:numCache>
                <c:formatCode>#,##0</c:formatCode>
                <c:ptCount val="12"/>
                <c:pt idx="2">
                  <c:v>322341</c:v>
                </c:pt>
                <c:pt idx="6">
                  <c:v>967166</c:v>
                </c:pt>
                <c:pt idx="10">
                  <c:v>644681</c:v>
                </c:pt>
              </c:numCache>
            </c:numRef>
          </c:val>
        </c:ser>
        <c:ser>
          <c:idx val="5"/>
          <c:order val="5"/>
          <c:tx>
            <c:strRef>
              <c:f>'data for graph'!$B$42</c:f>
              <c:strCache>
                <c:ptCount val="1"/>
                <c:pt idx="0">
                  <c:v>Registered Injection Capacity</c:v>
                </c:pt>
              </c:strCache>
            </c:strRef>
          </c:tx>
          <c:spPr>
            <a:gradFill rotWithShape="0">
              <a:gsLst>
                <a:gs pos="0">
                  <a:srgbClr val="C0C0C0"/>
                </a:gs>
                <a:gs pos="50000">
                  <a:srgbClr val="808080"/>
                </a:gs>
                <a:gs pos="100000">
                  <a:srgbClr val="C0C0C0"/>
                </a:gs>
              </a:gsLst>
              <a:lin ang="0" scaled="1"/>
            </a:gradFill>
            <a:ln w="25400">
              <a:noFill/>
            </a:ln>
          </c:spPr>
          <c:invertIfNegative val="0"/>
          <c:cat>
            <c:strLit>
              <c:ptCount val="1"/>
            </c:strLit>
          </c:cat>
          <c:val>
            <c:numRef>
              <c:f>'data for graph'!$C$42:$N$42</c:f>
              <c:numCache>
                <c:formatCode>#,##0</c:formatCode>
                <c:ptCount val="12"/>
                <c:pt idx="2">
                  <c:v>104659</c:v>
                </c:pt>
                <c:pt idx="6">
                  <c:v>313834</c:v>
                </c:pt>
                <c:pt idx="10">
                  <c:v>209319</c:v>
                </c:pt>
              </c:numCache>
            </c:numRef>
          </c:val>
        </c:ser>
        <c:ser>
          <c:idx val="6"/>
          <c:order val="6"/>
          <c:tx>
            <c:strRef>
              <c:f>'data for graph'!$B$43</c:f>
              <c:strCache>
                <c:ptCount val="1"/>
                <c:pt idx="0">
                  <c:v>Firm Withdrawal Capacity</c:v>
                </c:pt>
              </c:strCache>
            </c:strRef>
          </c:tx>
          <c:spPr>
            <a:gradFill rotWithShape="0">
              <a:gsLst>
                <a:gs pos="0">
                  <a:srgbClr val="969696"/>
                </a:gs>
                <a:gs pos="50000">
                  <a:srgbClr val="333333"/>
                </a:gs>
                <a:gs pos="100000">
                  <a:srgbClr val="969696"/>
                </a:gs>
              </a:gsLst>
              <a:lin ang="0" scaled="1"/>
            </a:gradFill>
            <a:ln w="25400">
              <a:noFill/>
            </a:ln>
          </c:spPr>
          <c:invertIfNegative val="0"/>
          <c:cat>
            <c:strLit>
              <c:ptCount val="1"/>
            </c:strLit>
          </c:cat>
          <c:val>
            <c:numRef>
              <c:f>'data for graph'!$C$43:$N$43</c:f>
              <c:numCache>
                <c:formatCode>#,##0</c:formatCode>
                <c:ptCount val="12"/>
                <c:pt idx="2">
                  <c:v>-579000</c:v>
                </c:pt>
                <c:pt idx="6">
                  <c:v>-1736973</c:v>
                </c:pt>
                <c:pt idx="10">
                  <c:v>-1158000</c:v>
                </c:pt>
              </c:numCache>
            </c:numRef>
          </c:val>
        </c:ser>
        <c:ser>
          <c:idx val="7"/>
          <c:order val="7"/>
          <c:tx>
            <c:strRef>
              <c:f>'data for graph'!$B$44</c:f>
              <c:strCache>
                <c:ptCount val="1"/>
                <c:pt idx="0">
                  <c:v>Registered Withdrawal Capacity</c:v>
                </c:pt>
              </c:strCache>
            </c:strRef>
          </c:tx>
          <c:spPr>
            <a:gradFill rotWithShape="0">
              <a:gsLst>
                <a:gs pos="0">
                  <a:srgbClr val="C0C0C0"/>
                </a:gs>
                <a:gs pos="50000">
                  <a:srgbClr val="808080"/>
                </a:gs>
                <a:gs pos="100000">
                  <a:srgbClr val="C0C0C0"/>
                </a:gs>
              </a:gsLst>
              <a:lin ang="0" scaled="1"/>
            </a:gradFill>
            <a:ln w="25400">
              <a:noFill/>
            </a:ln>
          </c:spPr>
          <c:invertIfNegative val="0"/>
          <c:cat>
            <c:strLit>
              <c:ptCount val="1"/>
            </c:strLit>
          </c:cat>
          <c:val>
            <c:numRef>
              <c:f>'data for graph'!$C$44:$N$44</c:f>
              <c:numCache>
                <c:formatCode>#,##0</c:formatCode>
                <c:ptCount val="12"/>
                <c:pt idx="2">
                  <c:v>0</c:v>
                </c:pt>
                <c:pt idx="6">
                  <c:v>-27</c:v>
                </c:pt>
                <c:pt idx="10">
                  <c:v>0</c:v>
                </c:pt>
              </c:numCache>
            </c:numRef>
          </c:val>
        </c:ser>
        <c:ser>
          <c:idx val="8"/>
          <c:order val="8"/>
          <c:tx>
            <c:strRef>
              <c:f>'data for graph'!$B$40</c:f>
              <c:strCache>
                <c:ptCount val="1"/>
                <c:pt idx="0">
                  <c:v>Mandatory Withdrawal</c:v>
                </c:pt>
              </c:strCache>
            </c:strRef>
          </c:tx>
          <c:spPr>
            <a:gradFill rotWithShape="0">
              <a:gsLst>
                <a:gs pos="0">
                  <a:srgbClr val="FF99CC"/>
                </a:gs>
                <a:gs pos="50000">
                  <a:srgbClr val="FF0000"/>
                </a:gs>
                <a:gs pos="100000">
                  <a:srgbClr val="FF99CC"/>
                </a:gs>
              </a:gsLst>
              <a:lin ang="0" scaled="1"/>
            </a:gradFill>
            <a:ln w="25400">
              <a:noFill/>
            </a:ln>
          </c:spPr>
          <c:invertIfNegative val="0"/>
          <c:val>
            <c:numRef>
              <c:f>'data for graph'!$C$40:$N$40</c:f>
              <c:numCache>
                <c:formatCode>#,##0</c:formatCode>
                <c:ptCount val="12"/>
                <c:pt idx="1">
                  <c:v>-298625.37428337429</c:v>
                </c:pt>
                <c:pt idx="5">
                  <c:v>0</c:v>
                </c:pt>
                <c:pt idx="9">
                  <c:v>-468540.62571662571</c:v>
                </c:pt>
              </c:numCache>
            </c:numRef>
          </c:val>
        </c:ser>
        <c:dLbls>
          <c:showLegendKey val="0"/>
          <c:showVal val="0"/>
          <c:showCatName val="0"/>
          <c:showSerName val="0"/>
          <c:showPercent val="0"/>
          <c:showBubbleSize val="0"/>
        </c:dLbls>
        <c:gapWidth val="10"/>
        <c:overlap val="100"/>
        <c:axId val="384348928"/>
        <c:axId val="384700416"/>
      </c:barChart>
      <c:catAx>
        <c:axId val="384348928"/>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800" b="1" i="0" u="none" strike="noStrike" baseline="0">
                <a:solidFill>
                  <a:srgbClr val="333333"/>
                </a:solidFill>
                <a:latin typeface="Verdana"/>
                <a:ea typeface="Verdana"/>
                <a:cs typeface="Verdana"/>
              </a:defRPr>
            </a:pPr>
            <a:endParaRPr lang="en-US"/>
          </a:p>
        </c:txPr>
        <c:crossAx val="384700416"/>
        <c:crosses val="autoZero"/>
        <c:auto val="1"/>
        <c:lblAlgn val="ctr"/>
        <c:lblOffset val="100"/>
        <c:tickLblSkip val="1"/>
        <c:tickMarkSkip val="1"/>
        <c:noMultiLvlLbl val="0"/>
      </c:catAx>
      <c:valAx>
        <c:axId val="384700416"/>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rtl="1">
              <a:defRPr sz="800" b="0" i="0" u="none" strike="noStrike" baseline="0">
                <a:solidFill>
                  <a:srgbClr val="333333"/>
                </a:solidFill>
                <a:latin typeface="Verdana"/>
                <a:ea typeface="Verdana"/>
                <a:cs typeface="Verdana"/>
              </a:defRPr>
            </a:pPr>
            <a:endParaRPr lang="en-US"/>
          </a:p>
        </c:txPr>
        <c:crossAx val="384348928"/>
        <c:crosses val="autoZero"/>
        <c:crossBetween val="between"/>
      </c:valAx>
      <c:spPr>
        <a:solidFill>
          <a:srgbClr val="FFFFFF"/>
        </a:solidFill>
        <a:ln w="25400">
          <a:noFill/>
        </a:ln>
      </c:spPr>
    </c:plotArea>
    <c:plotVisOnly val="1"/>
    <c:dispBlanksAs val="gap"/>
    <c:showDLblsOverMax val="0"/>
  </c:chart>
  <c:spPr>
    <a:no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053925918562171"/>
          <c:y val="8.9219330855018583E-2"/>
          <c:w val="0.28742556989376211"/>
          <c:h val="0.86245353159851301"/>
        </c:manualLayout>
      </c:layout>
      <c:barChart>
        <c:barDir val="col"/>
        <c:grouping val="stacked"/>
        <c:varyColors val="0"/>
        <c:ser>
          <c:idx val="0"/>
          <c:order val="0"/>
          <c:tx>
            <c:strRef>
              <c:f>'data for graph'!$O$36</c:f>
              <c:strCache>
                <c:ptCount val="1"/>
                <c:pt idx="0">
                  <c:v>Request</c:v>
                </c:pt>
              </c:strCache>
            </c:strRef>
          </c:tx>
          <c:spPr>
            <a:gradFill rotWithShape="0">
              <a:gsLst>
                <a:gs pos="0">
                  <a:srgbClr val="339966"/>
                </a:gs>
                <a:gs pos="50000">
                  <a:srgbClr val="003300"/>
                </a:gs>
                <a:gs pos="100000">
                  <a:srgbClr val="339966"/>
                </a:gs>
              </a:gsLst>
              <a:lin ang="0" scaled="1"/>
            </a:gradFill>
            <a:ln w="25400">
              <a:noFill/>
            </a:ln>
          </c:spPr>
          <c:invertIfNegative val="0"/>
          <c:cat>
            <c:strLit>
              <c:ptCount val="1"/>
            </c:strLit>
          </c:cat>
          <c:val>
            <c:numRef>
              <c:f>'data for graph'!$P$36:$R$36</c:f>
              <c:numCache>
                <c:formatCode>General</c:formatCode>
                <c:ptCount val="3"/>
                <c:pt idx="0" formatCode="#,##0">
                  <c:v>1000000</c:v>
                </c:pt>
              </c:numCache>
            </c:numRef>
          </c:val>
        </c:ser>
        <c:ser>
          <c:idx val="1"/>
          <c:order val="1"/>
          <c:tx>
            <c:strRef>
              <c:f>'data for graph'!$O$37</c:f>
              <c:strCache>
                <c:ptCount val="1"/>
                <c:pt idx="0">
                  <c:v>Rejected Part of Request</c:v>
                </c:pt>
              </c:strCache>
            </c:strRef>
          </c:tx>
          <c:spPr>
            <a:gradFill rotWithShape="0">
              <a:gsLst>
                <a:gs pos="0">
                  <a:srgbClr val="00FF00"/>
                </a:gs>
                <a:gs pos="50000">
                  <a:srgbClr val="339966"/>
                </a:gs>
                <a:gs pos="100000">
                  <a:srgbClr val="00FF00"/>
                </a:gs>
              </a:gsLst>
              <a:lin ang="0" scaled="1"/>
            </a:gradFill>
            <a:ln w="25400">
              <a:noFill/>
            </a:ln>
          </c:spPr>
          <c:invertIfNegative val="0"/>
          <c:cat>
            <c:strLit>
              <c:ptCount val="1"/>
            </c:strLit>
          </c:cat>
          <c:val>
            <c:numRef>
              <c:f>'data for graph'!$P$37:$R$37</c:f>
              <c:numCache>
                <c:formatCode>General</c:formatCode>
                <c:ptCount val="3"/>
                <c:pt idx="0" formatCode="#,##0">
                  <c:v>200000</c:v>
                </c:pt>
              </c:numCache>
            </c:numRef>
          </c:val>
        </c:ser>
        <c:ser>
          <c:idx val="2"/>
          <c:order val="2"/>
          <c:tx>
            <c:strRef>
              <c:f>'data for graph'!$O$38</c:f>
              <c:strCache>
                <c:ptCount val="1"/>
                <c:pt idx="0">
                  <c:v>Total Confirmed</c:v>
                </c:pt>
              </c:strCache>
            </c:strRef>
          </c:tx>
          <c:spPr>
            <a:gradFill rotWithShape="0">
              <a:gsLst>
                <a:gs pos="0">
                  <a:srgbClr val="FFCC00"/>
                </a:gs>
                <a:gs pos="50000">
                  <a:srgbClr val="FF6600"/>
                </a:gs>
                <a:gs pos="100000">
                  <a:srgbClr val="FFCC00"/>
                </a:gs>
              </a:gsLst>
              <a:lin ang="0" scaled="1"/>
            </a:gradFill>
            <a:ln w="25400">
              <a:noFill/>
            </a:ln>
          </c:spPr>
          <c:invertIfNegative val="0"/>
          <c:cat>
            <c:strLit>
              <c:ptCount val="1"/>
            </c:strLit>
          </c:cat>
          <c:val>
            <c:numRef>
              <c:f>'data for graph'!$P$38:$R$38</c:f>
              <c:numCache>
                <c:formatCode>#,##0</c:formatCode>
                <c:ptCount val="3"/>
                <c:pt idx="1">
                  <c:v>0</c:v>
                </c:pt>
              </c:numCache>
            </c:numRef>
          </c:val>
        </c:ser>
        <c:ser>
          <c:idx val="4"/>
          <c:order val="3"/>
          <c:tx>
            <c:strRef>
              <c:f>'data for graph'!$O$39</c:f>
              <c:strCache>
                <c:ptCount val="1"/>
                <c:pt idx="0">
                  <c:v>Firm Injection Capacity</c:v>
                </c:pt>
              </c:strCache>
            </c:strRef>
          </c:tx>
          <c:spPr>
            <a:gradFill rotWithShape="0">
              <a:gsLst>
                <a:gs pos="0">
                  <a:srgbClr val="969696"/>
                </a:gs>
                <a:gs pos="50000">
                  <a:srgbClr val="333333"/>
                </a:gs>
                <a:gs pos="100000">
                  <a:srgbClr val="969696"/>
                </a:gs>
              </a:gsLst>
              <a:lin ang="0" scaled="1"/>
            </a:gradFill>
            <a:ln w="25400">
              <a:noFill/>
            </a:ln>
          </c:spPr>
          <c:invertIfNegative val="0"/>
          <c:cat>
            <c:strLit>
              <c:ptCount val="1"/>
            </c:strLit>
          </c:cat>
          <c:val>
            <c:numRef>
              <c:f>'data for graph'!$P$39:$R$39</c:f>
              <c:numCache>
                <c:formatCode>#,##0</c:formatCode>
                <c:ptCount val="3"/>
                <c:pt idx="2">
                  <c:v>1934188</c:v>
                </c:pt>
              </c:numCache>
            </c:numRef>
          </c:val>
        </c:ser>
        <c:ser>
          <c:idx val="5"/>
          <c:order val="4"/>
          <c:tx>
            <c:strRef>
              <c:f>'data for graph'!$O$40</c:f>
              <c:strCache>
                <c:ptCount val="1"/>
                <c:pt idx="0">
                  <c:v>Registered Injection Capacity</c:v>
                </c:pt>
              </c:strCache>
            </c:strRef>
          </c:tx>
          <c:spPr>
            <a:gradFill rotWithShape="0">
              <a:gsLst>
                <a:gs pos="0">
                  <a:srgbClr val="C0C0C0"/>
                </a:gs>
                <a:gs pos="50000">
                  <a:srgbClr val="808080"/>
                </a:gs>
                <a:gs pos="100000">
                  <a:srgbClr val="C0C0C0"/>
                </a:gs>
              </a:gsLst>
              <a:lin ang="0" scaled="1"/>
            </a:gradFill>
            <a:ln w="25400">
              <a:noFill/>
            </a:ln>
          </c:spPr>
          <c:invertIfNegative val="0"/>
          <c:cat>
            <c:strLit>
              <c:ptCount val="1"/>
            </c:strLit>
          </c:cat>
          <c:val>
            <c:numRef>
              <c:f>'data for graph'!$P$40:$R$40</c:f>
              <c:numCache>
                <c:formatCode>#,##0</c:formatCode>
                <c:ptCount val="3"/>
                <c:pt idx="2">
                  <c:v>627812</c:v>
                </c:pt>
              </c:numCache>
            </c:numRef>
          </c:val>
        </c:ser>
        <c:ser>
          <c:idx val="6"/>
          <c:order val="5"/>
          <c:tx>
            <c:strRef>
              <c:f>'data for graph'!$O$41</c:f>
              <c:strCache>
                <c:ptCount val="1"/>
                <c:pt idx="0">
                  <c:v>Firm Withdrawal Capacity</c:v>
                </c:pt>
              </c:strCache>
            </c:strRef>
          </c:tx>
          <c:spPr>
            <a:gradFill rotWithShape="0">
              <a:gsLst>
                <a:gs pos="0">
                  <a:srgbClr val="969696"/>
                </a:gs>
                <a:gs pos="50000">
                  <a:srgbClr val="333333"/>
                </a:gs>
                <a:gs pos="100000">
                  <a:srgbClr val="969696"/>
                </a:gs>
              </a:gsLst>
              <a:lin ang="0" scaled="1"/>
            </a:gradFill>
            <a:ln w="25400">
              <a:noFill/>
            </a:ln>
          </c:spPr>
          <c:invertIfNegative val="0"/>
          <c:cat>
            <c:strLit>
              <c:ptCount val="1"/>
            </c:strLit>
          </c:cat>
          <c:val>
            <c:numRef>
              <c:f>'data for graph'!$P$41:$R$41</c:f>
              <c:numCache>
                <c:formatCode>#,##0</c:formatCode>
                <c:ptCount val="3"/>
                <c:pt idx="2">
                  <c:v>-3473973</c:v>
                </c:pt>
              </c:numCache>
            </c:numRef>
          </c:val>
        </c:ser>
        <c:ser>
          <c:idx val="7"/>
          <c:order val="6"/>
          <c:tx>
            <c:strRef>
              <c:f>'data for graph'!$O$42</c:f>
              <c:strCache>
                <c:ptCount val="1"/>
                <c:pt idx="0">
                  <c:v>Registered Withdrawal Capacity</c:v>
                </c:pt>
              </c:strCache>
            </c:strRef>
          </c:tx>
          <c:spPr>
            <a:gradFill rotWithShape="0">
              <a:gsLst>
                <a:gs pos="0">
                  <a:srgbClr val="C0C0C0"/>
                </a:gs>
                <a:gs pos="50000">
                  <a:srgbClr val="808080"/>
                </a:gs>
                <a:gs pos="100000">
                  <a:srgbClr val="C0C0C0"/>
                </a:gs>
              </a:gsLst>
              <a:lin ang="0" scaled="1"/>
            </a:gradFill>
            <a:ln w="25400">
              <a:noFill/>
            </a:ln>
          </c:spPr>
          <c:invertIfNegative val="0"/>
          <c:cat>
            <c:strLit>
              <c:ptCount val="1"/>
            </c:strLit>
          </c:cat>
          <c:val>
            <c:numRef>
              <c:f>'data for graph'!$P$42:$R$42</c:f>
              <c:numCache>
                <c:formatCode>#,##0</c:formatCode>
                <c:ptCount val="3"/>
                <c:pt idx="2">
                  <c:v>-27</c:v>
                </c:pt>
              </c:numCache>
            </c:numRef>
          </c:val>
        </c:ser>
        <c:dLbls>
          <c:showLegendKey val="0"/>
          <c:showVal val="0"/>
          <c:showCatName val="0"/>
          <c:showSerName val="0"/>
          <c:showPercent val="0"/>
          <c:showBubbleSize val="0"/>
        </c:dLbls>
        <c:gapWidth val="10"/>
        <c:overlap val="100"/>
        <c:axId val="385114496"/>
        <c:axId val="385116416"/>
      </c:barChart>
      <c:catAx>
        <c:axId val="38511449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rtl="1">
              <a:defRPr sz="800" b="1" i="0" u="none" strike="noStrike" baseline="0">
                <a:solidFill>
                  <a:srgbClr val="333333"/>
                </a:solidFill>
                <a:latin typeface="Verdana"/>
                <a:ea typeface="Verdana"/>
                <a:cs typeface="Verdana"/>
              </a:defRPr>
            </a:pPr>
            <a:endParaRPr lang="en-US"/>
          </a:p>
        </c:txPr>
        <c:crossAx val="385116416"/>
        <c:crosses val="autoZero"/>
        <c:auto val="1"/>
        <c:lblAlgn val="ctr"/>
        <c:lblOffset val="100"/>
        <c:tickLblSkip val="1"/>
        <c:tickMarkSkip val="1"/>
        <c:noMultiLvlLbl val="0"/>
      </c:catAx>
      <c:valAx>
        <c:axId val="385116416"/>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Verdana"/>
                <a:ea typeface="Verdana"/>
                <a:cs typeface="Verdana"/>
              </a:defRPr>
            </a:pPr>
            <a:endParaRPr lang="en-US"/>
          </a:p>
        </c:txPr>
        <c:crossAx val="385114496"/>
        <c:crosses val="autoZero"/>
        <c:crossBetween val="between"/>
      </c:valAx>
      <c:spPr>
        <a:solidFill>
          <a:srgbClr val="FFFFFF"/>
        </a:solidFill>
        <a:ln w="25400">
          <a:noFill/>
        </a:ln>
      </c:spPr>
    </c:plotArea>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7.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1.png"/><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1.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123825</xdr:colOff>
      <xdr:row>7</xdr:row>
      <xdr:rowOff>57150</xdr:rowOff>
    </xdr:from>
    <xdr:to>
      <xdr:col>16</xdr:col>
      <xdr:colOff>485775</xdr:colOff>
      <xdr:row>40</xdr:row>
      <xdr:rowOff>47625</xdr:rowOff>
    </xdr:to>
    <xdr:sp macro="" textlink="">
      <xdr:nvSpPr>
        <xdr:cNvPr id="29697" name="Text Box 1"/>
        <xdr:cNvSpPr txBox="1">
          <a:spLocks noChangeArrowheads="1"/>
        </xdr:cNvSpPr>
      </xdr:nvSpPr>
      <xdr:spPr bwMode="auto">
        <a:xfrm>
          <a:off x="123825" y="1190625"/>
          <a:ext cx="10115550" cy="5334000"/>
        </a:xfrm>
        <a:prstGeom prst="rect">
          <a:avLst/>
        </a:prstGeom>
        <a:gradFill rotWithShape="1">
          <a:gsLst>
            <a:gs pos="0">
              <a:srgbClr val="C9ECFF"/>
            </a:gs>
            <a:gs pos="100000">
              <a:srgbClr val="EEF9FF"/>
            </a:gs>
          </a:gsLst>
          <a:lin ang="5400000" scaled="1"/>
        </a:gradFill>
        <a:ln>
          <a:noFill/>
        </a:ln>
        <a:extLst>
          <a:ext uri="{91240B29-F687-4F45-9708-019B960494DF}">
            <a14:hiddenLine xmlns:a14="http://schemas.microsoft.com/office/drawing/2010/main" w="19050">
              <a:solidFill>
                <a:srgbClr xmlns:mc="http://schemas.openxmlformats.org/markup-compatibility/2006" val="808080" mc:Ignorable="a14" a14:legacySpreadsheetColorIndex="23"/>
              </a:solidFill>
              <a:miter lim="800000"/>
              <a:headEnd/>
              <a:tailEnd/>
            </a14:hiddenLine>
          </a:ext>
        </a:extLst>
      </xdr:spPr>
      <xdr:txBody>
        <a:bodyPr vertOverflow="clip" wrap="square" lIns="27432" tIns="22860" rIns="0" bIns="0" anchor="t" upright="1"/>
        <a:lstStyle/>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TAQA Gas Storage B.V. and its affiliates and coventurers (“TAQA”) shall bear no responsibility or liability for the completeness or accuracy of any of the </a:t>
          </a:r>
        </a:p>
        <a:p>
          <a:pPr algn="l" rtl="0">
            <a:defRPr sz="1000"/>
          </a:pPr>
          <a:r>
            <a:rPr lang="en-GB" sz="1000" b="0" i="0" u="none" strike="noStrike" baseline="0">
              <a:solidFill>
                <a:srgbClr val="333333"/>
              </a:solidFill>
              <a:latin typeface="Verdana"/>
              <a:ea typeface="Verdana"/>
              <a:cs typeface="Verdana"/>
            </a:rPr>
            <a:t>information and representations, expressed or implied, contained in, or for omissions from, these notes.</a:t>
          </a:r>
        </a:p>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All recipients receive and use these notes entirely at their own risk.</a:t>
          </a:r>
        </a:p>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No responsibility is taken or accepted by TAQA, and TAQA shall not be liable for any losses which may result therefrom, </a:t>
          </a:r>
        </a:p>
        <a:p>
          <a:pPr algn="l" rtl="0">
            <a:defRPr sz="1000"/>
          </a:pPr>
          <a:r>
            <a:rPr lang="en-GB" sz="1000" b="0" i="0" u="none" strike="noStrike" baseline="0">
              <a:solidFill>
                <a:srgbClr val="333333"/>
              </a:solidFill>
              <a:latin typeface="Verdana"/>
              <a:ea typeface="Verdana"/>
              <a:cs typeface="Verdana"/>
            </a:rPr>
            <a:t>whether as a direct or indirect consequence of a computer virus or otherwise.</a:t>
          </a:r>
        </a:p>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This document remains the sole propriety of TAQA Gas Storage B.V. </a:t>
          </a:r>
        </a:p>
        <a:p>
          <a:pPr algn="l" rtl="0">
            <a:defRPr sz="1000"/>
          </a:pPr>
          <a:endParaRPr lang="en-GB" sz="1000" b="0" i="0" u="none" strike="noStrike" baseline="0">
            <a:solidFill>
              <a:srgbClr val="333333"/>
            </a:solidFill>
            <a:latin typeface="Verdana"/>
            <a:ea typeface="Verdana"/>
            <a:cs typeface="Verdana"/>
          </a:endParaRPr>
        </a:p>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 </a:t>
          </a:r>
        </a:p>
        <a:p>
          <a:pPr algn="l" rtl="0">
            <a:defRPr sz="1000"/>
          </a:pPr>
          <a:endParaRPr lang="en-GB" sz="1000" b="0" i="0" u="none" strike="noStrike" baseline="0">
            <a:solidFill>
              <a:srgbClr val="333333"/>
            </a:solidFill>
            <a:latin typeface="Verdana"/>
            <a:ea typeface="Verdana"/>
            <a:cs typeface="Verdana"/>
          </a:endParaRPr>
        </a:p>
        <a:p>
          <a:pPr algn="l" rtl="0">
            <a:defRPr sz="1000"/>
          </a:pPr>
          <a:endParaRPr lang="en-GB" sz="1000" b="0" i="0" u="none" strike="noStrike" baseline="0">
            <a:solidFill>
              <a:srgbClr val="333333"/>
            </a:solidFill>
            <a:latin typeface="Verdana"/>
            <a:ea typeface="Verdana"/>
            <a:cs typeface="Verdana"/>
          </a:endParaRPr>
        </a:p>
        <a:p>
          <a:pPr algn="l" rtl="0">
            <a:defRPr sz="1000"/>
          </a:pPr>
          <a:endParaRPr lang="en-GB" sz="1000" b="1" i="0" u="none" strike="noStrike" baseline="0">
            <a:solidFill>
              <a:srgbClr val="333333"/>
            </a:solidFill>
            <a:latin typeface="Verdana"/>
            <a:ea typeface="Verdana"/>
            <a:cs typeface="Verdana"/>
          </a:endParaRPr>
        </a:p>
        <a:p>
          <a:pPr algn="l" rtl="0">
            <a:defRPr sz="1000"/>
          </a:pPr>
          <a:endParaRPr lang="en-GB"/>
        </a:p>
      </xdr:txBody>
    </xdr:sp>
    <xdr:clientData/>
  </xdr:twoCellAnchor>
  <xdr:twoCellAnchor>
    <xdr:from>
      <xdr:col>0</xdr:col>
      <xdr:colOff>123825</xdr:colOff>
      <xdr:row>6</xdr:row>
      <xdr:rowOff>19050</xdr:rowOff>
    </xdr:from>
    <xdr:to>
      <xdr:col>3</xdr:col>
      <xdr:colOff>371475</xdr:colOff>
      <xdr:row>7</xdr:row>
      <xdr:rowOff>57150</xdr:rowOff>
    </xdr:to>
    <xdr:sp macro="" textlink="">
      <xdr:nvSpPr>
        <xdr:cNvPr id="29698" name="Text Box 2"/>
        <xdr:cNvSpPr txBox="1">
          <a:spLocks noChangeArrowheads="1"/>
        </xdr:cNvSpPr>
      </xdr:nvSpPr>
      <xdr:spPr bwMode="auto">
        <a:xfrm>
          <a:off x="123825" y="990600"/>
          <a:ext cx="2076450" cy="200025"/>
        </a:xfrm>
        <a:prstGeom prst="rect">
          <a:avLst/>
        </a:prstGeom>
        <a:gradFill rotWithShape="1">
          <a:gsLst>
            <a:gs pos="0">
              <a:srgbClr xmlns:mc="http://schemas.openxmlformats.org/markup-compatibility/2006" xmlns:a14="http://schemas.microsoft.com/office/drawing/2010/main" val="50C9E8" mc:Ignorable="a14" a14:legacySpreadsheetColorIndex="25"/>
            </a:gs>
            <a:gs pos="100000">
              <a:srgbClr xmlns:mc="http://schemas.openxmlformats.org/markup-compatibility/2006" xmlns:a14="http://schemas.microsoft.com/office/drawing/2010/main" val="808080" mc:Ignorable="a14" a14:legacySpreadsheetColorIndex="23"/>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en-GB" sz="1000" b="1" i="0" u="none" strike="noStrike" baseline="0">
              <a:solidFill>
                <a:srgbClr val="000080"/>
              </a:solidFill>
              <a:latin typeface="Verdana"/>
              <a:ea typeface="Verdana"/>
              <a:cs typeface="Verdana"/>
            </a:rPr>
            <a:t>Disclaimer</a:t>
          </a:r>
          <a:endParaRPr lang="en-GB"/>
        </a:p>
      </xdr:txBody>
    </xdr:sp>
    <xdr:clientData/>
  </xdr:twoCellAnchor>
  <xdr:twoCellAnchor editAs="oneCell">
    <xdr:from>
      <xdr:col>0</xdr:col>
      <xdr:colOff>0</xdr:colOff>
      <xdr:row>0</xdr:row>
      <xdr:rowOff>0</xdr:rowOff>
    </xdr:from>
    <xdr:to>
      <xdr:col>3</xdr:col>
      <xdr:colOff>381000</xdr:colOff>
      <xdr:row>4</xdr:row>
      <xdr:rowOff>142875</xdr:rowOff>
    </xdr:to>
    <xdr:pic>
      <xdr:nvPicPr>
        <xdr:cNvPr id="29715" name="Picture 13" descr="H:\logo-201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098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6</xdr:row>
      <xdr:rowOff>142875</xdr:rowOff>
    </xdr:from>
    <xdr:to>
      <xdr:col>10</xdr:col>
      <xdr:colOff>9525</xdr:colOff>
      <xdr:row>10</xdr:row>
      <xdr:rowOff>114300</xdr:rowOff>
    </xdr:to>
    <xdr:sp macro="" textlink="">
      <xdr:nvSpPr>
        <xdr:cNvPr id="10243" name="Text Box 3"/>
        <xdr:cNvSpPr txBox="1">
          <a:spLocks noChangeArrowheads="1"/>
        </xdr:cNvSpPr>
      </xdr:nvSpPr>
      <xdr:spPr bwMode="auto">
        <a:xfrm>
          <a:off x="180975" y="1114425"/>
          <a:ext cx="9820275" cy="1409700"/>
        </a:xfrm>
        <a:prstGeom prst="rect">
          <a:avLst/>
        </a:prstGeom>
        <a:gradFill rotWithShape="1">
          <a:gsLst>
            <a:gs pos="0">
              <a:srgbClr val="C9ECFF"/>
            </a:gs>
            <a:gs pos="100000">
              <a:srgbClr val="FFFFFF"/>
            </a:gs>
          </a:gsLst>
          <a:lin ang="5400000" scaled="1"/>
        </a:gradFill>
        <a:ln>
          <a:noFill/>
        </a:ln>
        <a:extLst>
          <a:ext uri="{91240B29-F687-4F45-9708-019B960494DF}">
            <a14:hiddenLine xmlns:a14="http://schemas.microsoft.com/office/drawing/2010/main" w="19050">
              <a:solidFill>
                <a:srgbClr xmlns:mc="http://schemas.openxmlformats.org/markup-compatibility/2006" val="808080" mc:Ignorable="a14" a14:legacySpreadsheetColorIndex="23"/>
              </a:solidFill>
              <a:miter lim="800000"/>
              <a:headEnd/>
              <a:tailEnd/>
            </a14:hiddenLine>
          </a:ext>
        </a:extLst>
      </xdr:spPr>
      <xdr:txBody>
        <a:bodyPr vertOverflow="clip" wrap="square" lIns="36576" tIns="22860" rIns="0" bIns="0" anchor="t" upright="1"/>
        <a:lstStyle/>
        <a:p>
          <a:pPr algn="l" rtl="0">
            <a:defRPr sz="1000"/>
          </a:pPr>
          <a:r>
            <a:rPr lang="en-GB" sz="1000" b="1" i="0" u="none" strike="noStrike" baseline="0">
              <a:solidFill>
                <a:srgbClr val="333333"/>
              </a:solidFill>
              <a:latin typeface="Verdana"/>
              <a:ea typeface="Verdana"/>
              <a:cs typeface="Verdana"/>
            </a:rPr>
            <a:t>Secondary Trading</a:t>
          </a:r>
        </a:p>
        <a:p>
          <a:pPr algn="l" rtl="0">
            <a:defRPr sz="1000"/>
          </a:pPr>
          <a:r>
            <a:rPr lang="en-GB" sz="1000" b="0" i="0" u="none" strike="noStrike" baseline="0">
              <a:solidFill>
                <a:srgbClr val="333333"/>
              </a:solidFill>
              <a:latin typeface="Verdana"/>
              <a:ea typeface="Verdana"/>
              <a:cs typeface="Verdana"/>
            </a:rPr>
            <a:t>The secondary trading platform allows customers to trade Bundles, Unbundled Capacity and Gas-In-Storage. </a:t>
          </a:r>
        </a:p>
        <a:p>
          <a:pPr algn="l" rtl="0">
            <a:defRPr sz="1000"/>
          </a:pPr>
          <a:r>
            <a:rPr lang="en-GB" sz="1000" b="0" i="0" u="none" strike="noStrike" baseline="0">
              <a:solidFill>
                <a:srgbClr val="333333"/>
              </a:solidFill>
              <a:latin typeface="Verdana"/>
              <a:ea typeface="Verdana"/>
              <a:cs typeface="Verdana"/>
            </a:rPr>
            <a:t>TAQA Gas Storage BV will act as the central counterparty to all trades allowing for anonymous trading and eliminating credit risk between customers. </a:t>
          </a:r>
        </a:p>
        <a:p>
          <a:pPr algn="l" rtl="0">
            <a:defRPr sz="1000"/>
          </a:pPr>
          <a:r>
            <a:rPr lang="en-GB" sz="1000" b="0" i="0" u="none" strike="noStrike" baseline="0">
              <a:solidFill>
                <a:srgbClr val="333333"/>
              </a:solidFill>
              <a:latin typeface="Verdana"/>
              <a:ea typeface="Verdana"/>
              <a:cs typeface="Verdana"/>
            </a:rPr>
            <a:t>The minimum period for which Bundled and Unbundled Capacities and space can be traded is a Gas Flow Day. </a:t>
          </a:r>
        </a:p>
        <a:p>
          <a:pPr algn="l" rtl="0">
            <a:defRPr sz="1000"/>
          </a:pPr>
          <a:r>
            <a:rPr lang="en-GB" sz="1000" b="0" i="0" u="none" strike="noStrike" baseline="0">
              <a:solidFill>
                <a:srgbClr val="333333"/>
              </a:solidFill>
              <a:latin typeface="Verdana"/>
              <a:ea typeface="Verdana"/>
              <a:cs typeface="Verdana"/>
            </a:rPr>
            <a:t>Trades for Gas Flow Day D can be done untill D-1 18:00. </a:t>
          </a:r>
        </a:p>
        <a:p>
          <a:pPr algn="l" rtl="0">
            <a:defRPr sz="1000"/>
          </a:pPr>
          <a:r>
            <a:rPr lang="en-GB" sz="1000" b="0" i="0" u="none" strike="noStrike" baseline="0">
              <a:solidFill>
                <a:srgbClr val="333333"/>
              </a:solidFill>
              <a:latin typeface="Verdana"/>
              <a:ea typeface="Verdana"/>
              <a:cs typeface="Verdana"/>
            </a:rPr>
            <a:t>Gas-In-Storage deals done before D-1 18:00 will take effect at D 06:00.</a:t>
          </a:r>
        </a:p>
        <a:p>
          <a:pPr algn="l" rtl="0">
            <a:defRPr sz="1000"/>
          </a:pPr>
          <a:r>
            <a:rPr lang="en-GB" sz="1000" b="0" i="0" u="none" strike="noStrike" baseline="0">
              <a:solidFill>
                <a:srgbClr val="333333"/>
              </a:solidFill>
              <a:latin typeface="Verdana"/>
              <a:ea typeface="Verdana"/>
              <a:cs typeface="Verdana"/>
            </a:rPr>
            <a:t>The example below assumes Primary and Secondary deals for a full storage year.</a:t>
          </a:r>
        </a:p>
        <a:p>
          <a:pPr algn="l" rtl="0">
            <a:defRPr sz="1000"/>
          </a:pPr>
          <a:r>
            <a:rPr lang="en-GB" sz="1000" b="0" i="1" u="none" strike="noStrike" baseline="0">
              <a:solidFill>
                <a:srgbClr val="333333"/>
              </a:solidFill>
              <a:latin typeface="Verdana"/>
              <a:ea typeface="Verdana"/>
              <a:cs typeface="Verdana"/>
            </a:rPr>
            <a:t>Withdrawal is positive in this sheet.</a:t>
          </a:r>
          <a:endParaRPr lang="en-GB" sz="1000" b="0" i="0" u="none" strike="noStrike" baseline="0">
            <a:solidFill>
              <a:srgbClr val="333333"/>
            </a:solidFill>
            <a:latin typeface="Verdana"/>
            <a:ea typeface="Verdana"/>
            <a:cs typeface="Verdana"/>
          </a:endParaRPr>
        </a:p>
        <a:p>
          <a:pPr algn="l" rtl="0">
            <a:defRPr sz="1000"/>
          </a:pPr>
          <a:endParaRPr lang="en-GB" sz="1000" b="0" i="0" u="none" strike="noStrike" baseline="0">
            <a:solidFill>
              <a:srgbClr val="333333"/>
            </a:solidFill>
            <a:latin typeface="Verdana"/>
            <a:ea typeface="Verdana"/>
            <a:cs typeface="Verdana"/>
          </a:endParaRPr>
        </a:p>
        <a:p>
          <a:pPr algn="l" rtl="0">
            <a:defRPr sz="1000"/>
          </a:pPr>
          <a:endParaRPr lang="en-GB" sz="1000" b="1" i="0" u="none" strike="noStrike" baseline="0">
            <a:solidFill>
              <a:srgbClr val="333333"/>
            </a:solidFill>
            <a:latin typeface="Verdana"/>
            <a:ea typeface="Verdana"/>
            <a:cs typeface="Verdana"/>
          </a:endParaRPr>
        </a:p>
        <a:p>
          <a:pPr algn="l" rtl="0">
            <a:defRPr sz="1000"/>
          </a:pPr>
          <a:endParaRPr lang="en-GB" sz="1000" b="1" i="0" u="none" strike="noStrike" baseline="0">
            <a:solidFill>
              <a:srgbClr val="333333"/>
            </a:solidFill>
            <a:latin typeface="Verdana"/>
            <a:ea typeface="Verdana"/>
            <a:cs typeface="Verdana"/>
          </a:endParaRPr>
        </a:p>
        <a:p>
          <a:pPr algn="l" rtl="0">
            <a:defRPr sz="1000"/>
          </a:pPr>
          <a:endParaRPr lang="en-GB" sz="1000" b="1" i="0" u="none" strike="noStrike" baseline="0">
            <a:solidFill>
              <a:srgbClr val="333333"/>
            </a:solidFill>
            <a:latin typeface="Verdana"/>
            <a:ea typeface="Verdana"/>
            <a:cs typeface="Verdana"/>
          </a:endParaRPr>
        </a:p>
        <a:p>
          <a:pPr algn="l" rtl="0">
            <a:defRPr sz="1000"/>
          </a:pPr>
          <a:endParaRPr lang="en-GB"/>
        </a:p>
      </xdr:txBody>
    </xdr:sp>
    <xdr:clientData/>
  </xdr:twoCellAnchor>
  <xdr:twoCellAnchor editAs="oneCell">
    <xdr:from>
      <xdr:col>8</xdr:col>
      <xdr:colOff>219075</xdr:colOff>
      <xdr:row>4</xdr:row>
      <xdr:rowOff>66675</xdr:rowOff>
    </xdr:from>
    <xdr:to>
      <xdr:col>9</xdr:col>
      <xdr:colOff>66675</xdr:colOff>
      <xdr:row>6</xdr:row>
      <xdr:rowOff>104775</xdr:rowOff>
    </xdr:to>
    <xdr:pic>
      <xdr:nvPicPr>
        <xdr:cNvPr id="1028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96375" y="714375"/>
          <a:ext cx="8477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1657350</xdr:colOff>
      <xdr:row>1</xdr:row>
      <xdr:rowOff>85725</xdr:rowOff>
    </xdr:from>
    <xdr:to>
      <xdr:col>8</xdr:col>
      <xdr:colOff>142875</xdr:colOff>
      <xdr:row>6</xdr:row>
      <xdr:rowOff>114300</xdr:rowOff>
    </xdr:to>
    <xdr:sp macro="" textlink="">
      <xdr:nvSpPr>
        <xdr:cNvPr id="10250" name="Text Box 10"/>
        <xdr:cNvSpPr txBox="1">
          <a:spLocks noChangeArrowheads="1"/>
        </xdr:cNvSpPr>
      </xdr:nvSpPr>
      <xdr:spPr bwMode="auto">
        <a:xfrm>
          <a:off x="7077075" y="247650"/>
          <a:ext cx="1943100" cy="838200"/>
        </a:xfrm>
        <a:prstGeom prst="rect">
          <a:avLst/>
        </a:prstGeom>
        <a:gradFill rotWithShape="1">
          <a:gsLst>
            <a:gs pos="0">
              <a:srgbClr val="C9ECFF"/>
            </a:gs>
            <a:gs pos="100000">
              <a:srgbClr val="EEF9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1" i="0" u="none" strike="noStrike" baseline="0">
              <a:solidFill>
                <a:srgbClr val="00529B"/>
              </a:solidFill>
              <a:latin typeface="Verdana"/>
              <a:ea typeface="Verdana"/>
              <a:cs typeface="Verdana"/>
            </a:rPr>
            <a:t>Refers to SSSA</a:t>
          </a:r>
          <a:endParaRPr lang="en-US" sz="800" b="0" i="0" u="none" strike="noStrike" baseline="0">
            <a:solidFill>
              <a:srgbClr val="333333"/>
            </a:solidFill>
            <a:latin typeface="Verdana"/>
            <a:ea typeface="Verdana"/>
            <a:cs typeface="Verdana"/>
          </a:endParaRPr>
        </a:p>
        <a:p>
          <a:pPr algn="l" rtl="0">
            <a:defRPr sz="1000"/>
          </a:pPr>
          <a:r>
            <a:rPr lang="en-US" sz="800" b="0" i="0" u="none" strike="noStrike" baseline="0">
              <a:solidFill>
                <a:srgbClr val="00529B"/>
              </a:solidFill>
              <a:latin typeface="Verdana"/>
              <a:ea typeface="Verdana"/>
              <a:cs typeface="Verdana"/>
            </a:rPr>
            <a:t>3. Registered Capacity and Firm Capacity</a:t>
          </a:r>
        </a:p>
        <a:p>
          <a:pPr algn="l" rtl="0">
            <a:defRPr sz="1000"/>
          </a:pPr>
          <a:r>
            <a:rPr lang="en-US" sz="800" b="0" i="0" u="none" strike="noStrike" baseline="0">
              <a:solidFill>
                <a:srgbClr val="00529B"/>
              </a:solidFill>
              <a:latin typeface="Verdana"/>
              <a:ea typeface="Verdana"/>
              <a:cs typeface="Verdana"/>
            </a:rPr>
            <a:t>7. Gas-in-Storage</a:t>
          </a:r>
        </a:p>
        <a:p>
          <a:pPr algn="l" rtl="0">
            <a:defRPr sz="1000"/>
          </a:pPr>
          <a:r>
            <a:rPr lang="en-US" sz="800" b="0" i="0" u="none" strike="noStrike" baseline="0">
              <a:solidFill>
                <a:srgbClr val="00529B"/>
              </a:solidFill>
              <a:latin typeface="Verdana"/>
              <a:ea typeface="Verdana"/>
              <a:cs typeface="Verdana"/>
            </a:rPr>
            <a:t>8. Trades and Transfers</a:t>
          </a:r>
          <a:endParaRPr lang="en-US" sz="800" b="0" i="0" u="none" strike="noStrike" baseline="0">
            <a:solidFill>
              <a:srgbClr val="333333"/>
            </a:solidFill>
            <a:latin typeface="Verdana"/>
            <a:ea typeface="Verdana"/>
            <a:cs typeface="Verdana"/>
          </a:endParaRPr>
        </a:p>
        <a:p>
          <a:pPr algn="l" rtl="0">
            <a:defRPr sz="1000"/>
          </a:pPr>
          <a:endParaRPr lang="en-US" sz="800" b="0" i="0" u="none" strike="noStrike" baseline="0">
            <a:solidFill>
              <a:srgbClr val="333333"/>
            </a:solidFill>
            <a:latin typeface="Verdana"/>
            <a:ea typeface="Verdana"/>
            <a:cs typeface="Verdana"/>
          </a:endParaRPr>
        </a:p>
      </xdr:txBody>
    </xdr:sp>
    <xdr:clientData/>
  </xdr:twoCellAnchor>
  <xdr:twoCellAnchor>
    <xdr:from>
      <xdr:col>11</xdr:col>
      <xdr:colOff>0</xdr:colOff>
      <xdr:row>6</xdr:row>
      <xdr:rowOff>142875</xdr:rowOff>
    </xdr:from>
    <xdr:to>
      <xdr:col>14</xdr:col>
      <xdr:colOff>95250</xdr:colOff>
      <xdr:row>23</xdr:row>
      <xdr:rowOff>114300</xdr:rowOff>
    </xdr:to>
    <xdr:sp macro="" textlink="">
      <xdr:nvSpPr>
        <xdr:cNvPr id="10252" name="Text Box 12"/>
        <xdr:cNvSpPr txBox="1">
          <a:spLocks noChangeArrowheads="1"/>
        </xdr:cNvSpPr>
      </xdr:nvSpPr>
      <xdr:spPr bwMode="auto">
        <a:xfrm>
          <a:off x="10601325" y="1114425"/>
          <a:ext cx="5362575" cy="3609975"/>
        </a:xfrm>
        <a:prstGeom prst="rect">
          <a:avLst/>
        </a:prstGeom>
        <a:gradFill rotWithShape="1">
          <a:gsLst>
            <a:gs pos="0">
              <a:srgbClr val="C9ECFF"/>
            </a:gs>
            <a:gs pos="100000">
              <a:srgbClr val="FFFFFF"/>
            </a:gs>
          </a:gsLst>
          <a:lin ang="5400000" scaled="1"/>
        </a:gradFill>
        <a:ln>
          <a:noFill/>
        </a:ln>
        <a:extLst>
          <a:ext uri="{91240B29-F687-4F45-9708-019B960494DF}">
            <a14:hiddenLine xmlns:a14="http://schemas.microsoft.com/office/drawing/2010/main" w="19050">
              <a:solidFill>
                <a:srgbClr xmlns:mc="http://schemas.openxmlformats.org/markup-compatibility/2006" val="808080" mc:Ignorable="a14" a14:legacySpreadsheetColorIndex="23"/>
              </a:solidFill>
              <a:miter lim="800000"/>
              <a:headEnd/>
              <a:tailEnd/>
            </a14:hiddenLine>
          </a:ext>
        </a:extLst>
      </xdr:spPr>
      <xdr:txBody>
        <a:bodyPr vertOverflow="clip" wrap="square" lIns="36576" tIns="22860" rIns="0" bIns="0" anchor="t" upright="1"/>
        <a:lstStyle/>
        <a:p>
          <a:pPr algn="l" rtl="0">
            <a:defRPr sz="1000"/>
          </a:pPr>
          <a:r>
            <a:rPr lang="en-GB" sz="1000" b="1" i="0" u="none" strike="noStrike" baseline="0">
              <a:solidFill>
                <a:srgbClr val="333333"/>
              </a:solidFill>
              <a:latin typeface="Verdana"/>
              <a:ea typeface="Verdana"/>
              <a:cs typeface="Verdana"/>
            </a:rPr>
            <a:t>Calculations</a:t>
          </a:r>
        </a:p>
        <a:p>
          <a:pPr algn="l" rtl="0">
            <a:defRPr sz="1000"/>
          </a:pPr>
          <a:endParaRPr lang="en-GB" sz="1000" b="1"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Registered Capacities are the sum of Primary and Secondary Capacities (as calculated below). </a:t>
          </a:r>
        </a:p>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A Customer is not allowed to have negative Registered Capacities or Space. </a:t>
          </a:r>
        </a:p>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A Customer is not allowed to have a negative amount of Gas-In-Storage after a Gas-In-Storage trade.</a:t>
          </a:r>
          <a:endParaRPr lang="en-GB" sz="1000" b="1" i="0" u="none" strike="noStrike" baseline="0">
            <a:solidFill>
              <a:srgbClr val="333333"/>
            </a:solidFill>
            <a:latin typeface="Verdana"/>
            <a:ea typeface="Verdana"/>
            <a:cs typeface="Verdana"/>
          </a:endParaRPr>
        </a:p>
        <a:p>
          <a:pPr algn="l" rtl="0">
            <a:defRPr sz="1000"/>
          </a:pPr>
          <a:endParaRPr lang="en-GB" sz="1000" b="0" i="0" u="none" strike="noStrike" baseline="0">
            <a:solidFill>
              <a:srgbClr val="333333"/>
            </a:solidFill>
            <a:latin typeface="Verdana"/>
            <a:ea typeface="Verdana"/>
            <a:cs typeface="Verdana"/>
          </a:endParaRPr>
        </a:p>
        <a:p>
          <a:pPr algn="l" rtl="0">
            <a:defRPr sz="1000"/>
          </a:pPr>
          <a:endParaRPr lang="en-GB" sz="1000" b="0" i="0" u="none" strike="noStrike" baseline="0">
            <a:solidFill>
              <a:srgbClr val="333333"/>
            </a:solidFill>
            <a:latin typeface="Verdana"/>
            <a:ea typeface="Verdana"/>
            <a:cs typeface="Verdana"/>
          </a:endParaRPr>
        </a:p>
        <a:p>
          <a:pPr algn="l" rtl="0">
            <a:defRPr sz="1000"/>
          </a:pPr>
          <a:endParaRPr lang="en-GB" sz="1000" b="1" i="0" u="none" strike="noStrike" baseline="0">
            <a:solidFill>
              <a:srgbClr val="333333"/>
            </a:solidFill>
            <a:latin typeface="Verdana"/>
            <a:ea typeface="Verdana"/>
            <a:cs typeface="Verdana"/>
          </a:endParaRPr>
        </a:p>
        <a:p>
          <a:pPr algn="l" rtl="0">
            <a:defRPr sz="1000"/>
          </a:pPr>
          <a:endParaRPr lang="en-GB" sz="1000" b="1" i="0" u="none" strike="noStrike" baseline="0">
            <a:solidFill>
              <a:srgbClr val="333333"/>
            </a:solidFill>
            <a:latin typeface="Verdana"/>
            <a:ea typeface="Verdana"/>
            <a:cs typeface="Verdana"/>
          </a:endParaRPr>
        </a:p>
        <a:p>
          <a:pPr algn="l" rtl="0">
            <a:defRPr sz="1000"/>
          </a:pPr>
          <a:endParaRPr lang="en-GB" sz="1000" b="1" i="0" u="none" strike="noStrike" baseline="0">
            <a:solidFill>
              <a:srgbClr val="333333"/>
            </a:solidFill>
            <a:latin typeface="Verdana"/>
            <a:ea typeface="Verdana"/>
            <a:cs typeface="Verdana"/>
          </a:endParaRPr>
        </a:p>
        <a:p>
          <a:pPr algn="l" rtl="0">
            <a:defRPr sz="1000"/>
          </a:pPr>
          <a:endParaRPr lang="en-GB"/>
        </a:p>
      </xdr:txBody>
    </xdr:sp>
    <xdr:clientData/>
  </xdr:twoCellAnchor>
  <xdr:twoCellAnchor>
    <xdr:from>
      <xdr:col>10</xdr:col>
      <xdr:colOff>76200</xdr:colOff>
      <xdr:row>11</xdr:row>
      <xdr:rowOff>38100</xdr:rowOff>
    </xdr:from>
    <xdr:to>
      <xdr:col>10</xdr:col>
      <xdr:colOff>533400</xdr:colOff>
      <xdr:row>47</xdr:row>
      <xdr:rowOff>19050</xdr:rowOff>
    </xdr:to>
    <xdr:sp macro="" textlink="">
      <xdr:nvSpPr>
        <xdr:cNvPr id="10287" name="AutoShape 14"/>
        <xdr:cNvSpPr>
          <a:spLocks/>
        </xdr:cNvSpPr>
      </xdr:nvSpPr>
      <xdr:spPr bwMode="auto">
        <a:xfrm>
          <a:off x="10067925" y="2619375"/>
          <a:ext cx="457200" cy="5981700"/>
        </a:xfrm>
        <a:prstGeom prst="rightBrace">
          <a:avLst>
            <a:gd name="adj1" fmla="val 109028"/>
            <a:gd name="adj2" fmla="val 50000"/>
          </a:avLst>
        </a:prstGeom>
        <a:noFill/>
        <a:ln w="15875">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0</xdr:col>
      <xdr:colOff>0</xdr:colOff>
      <xdr:row>0</xdr:row>
      <xdr:rowOff>0</xdr:rowOff>
    </xdr:from>
    <xdr:to>
      <xdr:col>1</xdr:col>
      <xdr:colOff>2028825</xdr:colOff>
      <xdr:row>4</xdr:row>
      <xdr:rowOff>142875</xdr:rowOff>
    </xdr:to>
    <xdr:pic>
      <xdr:nvPicPr>
        <xdr:cNvPr id="10288" name="Picture 13" descr="H:\logo-2012.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2098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171450</xdr:colOff>
      <xdr:row>9</xdr:row>
      <xdr:rowOff>133350</xdr:rowOff>
    </xdr:from>
    <xdr:to>
      <xdr:col>16</xdr:col>
      <xdr:colOff>19050</xdr:colOff>
      <xdr:row>26</xdr:row>
      <xdr:rowOff>104775</xdr:rowOff>
    </xdr:to>
    <xdr:sp macro="" textlink="">
      <xdr:nvSpPr>
        <xdr:cNvPr id="11266" name="Text Box 2"/>
        <xdr:cNvSpPr txBox="1">
          <a:spLocks noChangeArrowheads="1"/>
        </xdr:cNvSpPr>
      </xdr:nvSpPr>
      <xdr:spPr bwMode="auto">
        <a:xfrm>
          <a:off x="171450" y="1590675"/>
          <a:ext cx="10391775" cy="2724150"/>
        </a:xfrm>
        <a:prstGeom prst="rect">
          <a:avLst/>
        </a:prstGeom>
        <a:gradFill rotWithShape="1">
          <a:gsLst>
            <a:gs pos="0">
              <a:srgbClr val="C9ECFF"/>
            </a:gs>
            <a:gs pos="100000">
              <a:srgbClr val="FFFFFF"/>
            </a:gs>
          </a:gsLst>
          <a:lin ang="5400000" scaled="1"/>
        </a:gradFill>
        <a:ln>
          <a:noFill/>
        </a:ln>
        <a:extLst>
          <a:ext uri="{91240B29-F687-4F45-9708-019B960494DF}">
            <a14:hiddenLine xmlns:a14="http://schemas.microsoft.com/office/drawing/2010/main" w="19050">
              <a:solidFill>
                <a:srgbClr xmlns:mc="http://schemas.openxmlformats.org/markup-compatibility/2006" val="808080" mc:Ignorable="a14" a14:legacySpreadsheetColorIndex="23"/>
              </a:solidFill>
              <a:miter lim="800000"/>
              <a:headEnd/>
              <a:tailEnd/>
            </a14:hiddenLine>
          </a:ext>
        </a:extLst>
      </xdr:spPr>
      <xdr:txBody>
        <a:bodyPr vertOverflow="clip" wrap="square" lIns="36576" tIns="22860" rIns="0" bIns="0" anchor="t" upright="1"/>
        <a:lstStyle/>
        <a:p>
          <a:pPr algn="l" rtl="0">
            <a:lnSpc>
              <a:spcPts val="1000"/>
            </a:lnSpc>
            <a:defRPr sz="1000"/>
          </a:pPr>
          <a:r>
            <a:rPr lang="en-GB" sz="1000" b="1" i="0" u="none" strike="noStrike" baseline="0">
              <a:solidFill>
                <a:srgbClr val="333333"/>
              </a:solidFill>
              <a:latin typeface="Verdana"/>
              <a:ea typeface="Verdana"/>
              <a:cs typeface="Verdana"/>
            </a:rPr>
            <a:t>Invoicing</a:t>
          </a:r>
        </a:p>
        <a:p>
          <a:pPr algn="l" rtl="0">
            <a:lnSpc>
              <a:spcPts val="1000"/>
            </a:lnSpc>
            <a:defRPr sz="1000"/>
          </a:pPr>
          <a:endParaRPr lang="en-GB" sz="1000" b="1" i="0" u="none" strike="noStrike" baseline="0">
            <a:solidFill>
              <a:srgbClr val="333333"/>
            </a:solidFill>
            <a:latin typeface="Verdana"/>
            <a:ea typeface="Verdana"/>
            <a:cs typeface="Verdana"/>
          </a:endParaRPr>
        </a:p>
        <a:p>
          <a:pPr algn="l" rtl="0">
            <a:lnSpc>
              <a:spcPts val="1000"/>
            </a:lnSpc>
            <a:defRPr sz="1000"/>
          </a:pPr>
          <a:r>
            <a:rPr lang="en-GB" sz="1000" b="0" i="0" u="none" strike="noStrike" baseline="0">
              <a:solidFill>
                <a:srgbClr val="333333"/>
              </a:solidFill>
              <a:latin typeface="Verdana"/>
              <a:ea typeface="Verdana"/>
              <a:cs typeface="Verdana"/>
            </a:rPr>
            <a:t>The customer will be invoiced on a monthly basis.</a:t>
          </a:r>
        </a:p>
        <a:p>
          <a:pPr algn="l" rtl="0">
            <a:lnSpc>
              <a:spcPts val="1000"/>
            </a:lnSpc>
            <a:defRPr sz="1000"/>
          </a:pPr>
          <a:r>
            <a:rPr lang="en-GB" sz="1000" b="0" i="0" u="none" strike="noStrike" baseline="0">
              <a:solidFill>
                <a:srgbClr val="333333"/>
              </a:solidFill>
              <a:latin typeface="Verdana"/>
              <a:ea typeface="Verdana"/>
              <a:cs typeface="Verdana"/>
            </a:rPr>
            <a:t>The invoice will be published on the EBB including a download option. </a:t>
          </a:r>
        </a:p>
        <a:p>
          <a:pPr algn="l" rtl="0">
            <a:lnSpc>
              <a:spcPts val="1000"/>
            </a:lnSpc>
            <a:defRPr sz="1000"/>
          </a:pPr>
          <a:r>
            <a:rPr lang="en-GB" sz="1000" b="0" i="0" u="none" strike="noStrike" baseline="0">
              <a:solidFill>
                <a:srgbClr val="333333"/>
              </a:solidFill>
              <a:latin typeface="Verdana"/>
              <a:ea typeface="Verdana"/>
              <a:cs typeface="Verdana"/>
            </a:rPr>
            <a:t>The invoice will contain aggregate figures on a monthly level for all items specified below.</a:t>
          </a:r>
        </a:p>
        <a:p>
          <a:pPr algn="l" rtl="0">
            <a:lnSpc>
              <a:spcPts val="1000"/>
            </a:lnSpc>
            <a:defRPr sz="1000"/>
          </a:pPr>
          <a:r>
            <a:rPr lang="en-GB" sz="1000" b="0" i="0" u="none" strike="noStrike" baseline="0">
              <a:solidFill>
                <a:srgbClr val="333333"/>
              </a:solidFill>
              <a:latin typeface="Verdana"/>
              <a:ea typeface="Verdana"/>
              <a:cs typeface="Verdana"/>
            </a:rPr>
            <a:t>A separate sheet will be available to the customer specifying all items below on an hourly level.</a:t>
          </a:r>
        </a:p>
        <a:p>
          <a:pPr algn="l" rtl="0">
            <a:lnSpc>
              <a:spcPts val="1000"/>
            </a:lnSpc>
            <a:defRPr sz="1000"/>
          </a:pPr>
          <a:endParaRPr lang="en-GB" sz="1000" b="0" i="0" u="none" strike="noStrike" baseline="0">
            <a:solidFill>
              <a:srgbClr val="333333"/>
            </a:solidFill>
            <a:latin typeface="Verdana"/>
            <a:ea typeface="Verdana"/>
            <a:cs typeface="Verdana"/>
          </a:endParaRPr>
        </a:p>
        <a:p>
          <a:pPr algn="l" rtl="0">
            <a:lnSpc>
              <a:spcPts val="1000"/>
            </a:lnSpc>
            <a:defRPr sz="1000"/>
          </a:pPr>
          <a:r>
            <a:rPr lang="en-GB" sz="1000" b="0" i="0" u="none" strike="noStrike" baseline="0">
              <a:solidFill>
                <a:srgbClr val="333333"/>
              </a:solidFill>
              <a:latin typeface="Verdana"/>
              <a:ea typeface="Verdana"/>
              <a:cs typeface="Verdana"/>
            </a:rPr>
            <a:t>The invoice will only contain amounts (euros).</a:t>
          </a:r>
        </a:p>
        <a:p>
          <a:pPr algn="l" rtl="0">
            <a:lnSpc>
              <a:spcPts val="1000"/>
            </a:lnSpc>
            <a:defRPr sz="1000"/>
          </a:pPr>
          <a:r>
            <a:rPr lang="en-GB" sz="1000" b="0" i="0" u="none" strike="noStrike" baseline="0">
              <a:solidFill>
                <a:srgbClr val="333333"/>
              </a:solidFill>
              <a:latin typeface="Verdana"/>
              <a:ea typeface="Verdana"/>
              <a:cs typeface="Verdana"/>
            </a:rPr>
            <a:t>The detailed sheet will contain the following for each line item for each hour:</a:t>
          </a:r>
        </a:p>
        <a:p>
          <a:pPr algn="l" rtl="0">
            <a:lnSpc>
              <a:spcPts val="1000"/>
            </a:lnSpc>
            <a:defRPr sz="1000"/>
          </a:pPr>
          <a:r>
            <a:rPr lang="en-GB" sz="1000" b="0" i="0" u="none" strike="noStrike" baseline="0">
              <a:solidFill>
                <a:srgbClr val="333333"/>
              </a:solidFill>
              <a:latin typeface="Verdana"/>
              <a:ea typeface="Verdana"/>
              <a:cs typeface="Verdana"/>
            </a:rPr>
            <a:t> </a:t>
          </a:r>
        </a:p>
        <a:p>
          <a:pPr algn="l" rtl="0">
            <a:lnSpc>
              <a:spcPts val="1000"/>
            </a:lnSpc>
            <a:defRPr sz="1000"/>
          </a:pPr>
          <a:r>
            <a:rPr lang="en-GB" sz="1000" b="0" i="0" u="none" strike="noStrike" baseline="0">
              <a:solidFill>
                <a:srgbClr val="333333"/>
              </a:solidFill>
              <a:latin typeface="Verdana"/>
              <a:ea typeface="Verdana"/>
              <a:cs typeface="Verdana"/>
            </a:rPr>
            <a:t>- Line Item (description)</a:t>
          </a:r>
        </a:p>
        <a:p>
          <a:pPr algn="l" rtl="0">
            <a:lnSpc>
              <a:spcPts val="1000"/>
            </a:lnSpc>
            <a:defRPr sz="1000"/>
          </a:pPr>
          <a:r>
            <a:rPr lang="en-GB" sz="1000" b="0" i="0" u="none" strike="noStrike" baseline="0">
              <a:solidFill>
                <a:srgbClr val="333333"/>
              </a:solidFill>
              <a:latin typeface="Verdana"/>
              <a:ea typeface="Verdana"/>
              <a:cs typeface="Verdana"/>
            </a:rPr>
            <a:t>- Volume (kWh)</a:t>
          </a:r>
        </a:p>
        <a:p>
          <a:pPr algn="l" rtl="0">
            <a:lnSpc>
              <a:spcPts val="1100"/>
            </a:lnSpc>
            <a:defRPr sz="1000"/>
          </a:pPr>
          <a:r>
            <a:rPr lang="en-GB" sz="1000" b="0" i="0" u="none" strike="noStrike" baseline="0">
              <a:solidFill>
                <a:srgbClr val="333333"/>
              </a:solidFill>
              <a:latin typeface="Verdana"/>
              <a:ea typeface="Verdana"/>
              <a:cs typeface="Verdana"/>
            </a:rPr>
            <a:t>- GasDay (date)</a:t>
          </a:r>
        </a:p>
        <a:p>
          <a:pPr algn="l" rtl="0">
            <a:lnSpc>
              <a:spcPts val="1000"/>
            </a:lnSpc>
            <a:defRPr sz="1000"/>
          </a:pPr>
          <a:r>
            <a:rPr lang="en-GB" sz="1000" b="0" i="0" u="none" strike="noStrike" baseline="0">
              <a:solidFill>
                <a:srgbClr val="333333"/>
              </a:solidFill>
              <a:latin typeface="Verdana"/>
              <a:ea typeface="Verdana"/>
              <a:cs typeface="Verdana"/>
            </a:rPr>
            <a:t>- Hour (i.e. 07:00-08:00)</a:t>
          </a:r>
        </a:p>
        <a:p>
          <a:pPr algn="l" rtl="0">
            <a:lnSpc>
              <a:spcPts val="1100"/>
            </a:lnSpc>
            <a:defRPr sz="1000"/>
          </a:pPr>
          <a:r>
            <a:rPr lang="en-GB" sz="1000" b="0" i="0" u="none" strike="noStrike" baseline="0">
              <a:solidFill>
                <a:srgbClr val="333333"/>
              </a:solidFill>
              <a:latin typeface="Verdana"/>
              <a:ea typeface="Verdana"/>
              <a:cs typeface="Verdana"/>
            </a:rPr>
            <a:t>- Price (euro/kWh)</a:t>
          </a:r>
        </a:p>
        <a:p>
          <a:pPr algn="l" rtl="0">
            <a:lnSpc>
              <a:spcPts val="1000"/>
            </a:lnSpc>
            <a:defRPr sz="1000"/>
          </a:pPr>
          <a:r>
            <a:rPr lang="en-GB" sz="1000" b="0" i="0" u="none" strike="noStrike" baseline="0">
              <a:solidFill>
                <a:srgbClr val="333333"/>
              </a:solidFill>
              <a:latin typeface="Verdana"/>
              <a:ea typeface="Verdana"/>
              <a:cs typeface="Verdana"/>
            </a:rPr>
            <a:t>- Amount (euro)</a:t>
          </a:r>
        </a:p>
        <a:p>
          <a:pPr algn="l" rtl="0">
            <a:lnSpc>
              <a:spcPts val="1100"/>
            </a:lnSpc>
            <a:defRPr sz="1000"/>
          </a:pPr>
          <a:endParaRPr lang="en-GB" sz="1000" b="0" i="0" u="none" strike="noStrike" baseline="0">
            <a:solidFill>
              <a:srgbClr val="333333"/>
            </a:solidFill>
            <a:latin typeface="Verdana"/>
            <a:ea typeface="Verdana"/>
            <a:cs typeface="Verdana"/>
          </a:endParaRPr>
        </a:p>
        <a:p>
          <a:pPr algn="l" rtl="0">
            <a:lnSpc>
              <a:spcPts val="1000"/>
            </a:lnSpc>
            <a:defRPr sz="1000"/>
          </a:pPr>
          <a:endParaRPr lang="en-GB" sz="1000" b="0" i="0" u="none" strike="noStrike" baseline="0">
            <a:solidFill>
              <a:srgbClr val="333333"/>
            </a:solidFill>
            <a:latin typeface="Verdana"/>
            <a:ea typeface="Verdana"/>
            <a:cs typeface="Verdana"/>
          </a:endParaRPr>
        </a:p>
        <a:p>
          <a:pPr algn="l" rtl="0">
            <a:lnSpc>
              <a:spcPts val="1100"/>
            </a:lnSpc>
            <a:defRPr sz="1000"/>
          </a:pPr>
          <a:endParaRPr lang="en-GB" sz="1000" b="0" i="0" u="none" strike="noStrike" baseline="0">
            <a:solidFill>
              <a:srgbClr val="333333"/>
            </a:solidFill>
            <a:latin typeface="Verdana"/>
            <a:ea typeface="Verdana"/>
            <a:cs typeface="Verdana"/>
          </a:endParaRPr>
        </a:p>
        <a:p>
          <a:pPr algn="l" rtl="0">
            <a:lnSpc>
              <a:spcPts val="1000"/>
            </a:lnSpc>
            <a:defRPr sz="1000"/>
          </a:pPr>
          <a:endParaRPr lang="en-GB" sz="1000" b="0" i="0" u="none" strike="noStrike" baseline="0">
            <a:solidFill>
              <a:srgbClr val="333333"/>
            </a:solidFill>
            <a:latin typeface="Verdana"/>
            <a:ea typeface="Verdana"/>
            <a:cs typeface="Verdana"/>
          </a:endParaRPr>
        </a:p>
        <a:p>
          <a:pPr algn="l" rtl="0">
            <a:lnSpc>
              <a:spcPts val="1000"/>
            </a:lnSpc>
            <a:defRPr sz="1000"/>
          </a:pPr>
          <a:endParaRPr lang="en-GB"/>
        </a:p>
      </xdr:txBody>
    </xdr:sp>
    <xdr:clientData/>
  </xdr:twoCellAnchor>
  <xdr:twoCellAnchor>
    <xdr:from>
      <xdr:col>0</xdr:col>
      <xdr:colOff>180975</xdr:colOff>
      <xdr:row>26</xdr:row>
      <xdr:rowOff>152400</xdr:rowOff>
    </xdr:from>
    <xdr:to>
      <xdr:col>16</xdr:col>
      <xdr:colOff>28575</xdr:colOff>
      <xdr:row>57</xdr:row>
      <xdr:rowOff>0</xdr:rowOff>
    </xdr:to>
    <xdr:sp macro="" textlink="">
      <xdr:nvSpPr>
        <xdr:cNvPr id="11267" name="Text Box 3"/>
        <xdr:cNvSpPr txBox="1">
          <a:spLocks noChangeArrowheads="1"/>
        </xdr:cNvSpPr>
      </xdr:nvSpPr>
      <xdr:spPr bwMode="auto">
        <a:xfrm>
          <a:off x="180975" y="4362450"/>
          <a:ext cx="10391775" cy="4867275"/>
        </a:xfrm>
        <a:prstGeom prst="rect">
          <a:avLst/>
        </a:prstGeom>
        <a:gradFill rotWithShape="1">
          <a:gsLst>
            <a:gs pos="0">
              <a:srgbClr val="C9ECFF"/>
            </a:gs>
            <a:gs pos="100000">
              <a:srgbClr val="FFFFFF"/>
            </a:gs>
          </a:gsLst>
          <a:lin ang="5400000" scaled="1"/>
        </a:gradFill>
        <a:ln>
          <a:noFill/>
        </a:ln>
        <a:extLst>
          <a:ext uri="{91240B29-F687-4F45-9708-019B960494DF}">
            <a14:hiddenLine xmlns:a14="http://schemas.microsoft.com/office/drawing/2010/main" w="19050">
              <a:solidFill>
                <a:srgbClr xmlns:mc="http://schemas.openxmlformats.org/markup-compatibility/2006" val="808080" mc:Ignorable="a14" a14:legacySpreadsheetColorIndex="23"/>
              </a:solidFill>
              <a:miter lim="800000"/>
              <a:headEnd/>
              <a:tailEnd/>
            </a14:hiddenLine>
          </a:ext>
        </a:extLst>
      </xdr:spPr>
      <xdr:txBody>
        <a:bodyPr vertOverflow="clip" wrap="square" lIns="36576" tIns="22860" rIns="0" bIns="0" anchor="t" upright="1"/>
        <a:lstStyle/>
        <a:p>
          <a:pPr algn="l" rtl="0">
            <a:defRPr sz="1000"/>
          </a:pPr>
          <a:r>
            <a:rPr lang="en-GB" sz="1000" b="1" i="0" u="none" strike="noStrike" baseline="0">
              <a:solidFill>
                <a:srgbClr val="333333"/>
              </a:solidFill>
              <a:latin typeface="Verdana"/>
              <a:ea typeface="Verdana"/>
              <a:cs typeface="Verdana"/>
            </a:rPr>
            <a:t>Invoice Line Items</a:t>
          </a:r>
        </a:p>
        <a:p>
          <a:pPr algn="l" rtl="0">
            <a:defRPr sz="1000"/>
          </a:pPr>
          <a:endParaRPr lang="en-GB" sz="1000" b="1"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 Primary Bundles</a:t>
          </a:r>
        </a:p>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 Secondary Bundled Capacity - Purchased</a:t>
          </a:r>
        </a:p>
        <a:p>
          <a:pPr algn="l" rtl="0">
            <a:defRPr sz="1000"/>
          </a:pPr>
          <a:r>
            <a:rPr lang="en-GB" sz="1000" b="0" i="0" u="none" strike="noStrike" baseline="0">
              <a:solidFill>
                <a:srgbClr val="333333"/>
              </a:solidFill>
              <a:latin typeface="Verdana"/>
              <a:ea typeface="Verdana"/>
              <a:cs typeface="Verdana"/>
            </a:rPr>
            <a:t>- Secondary Bundled Capacity - Sold</a:t>
          </a:r>
        </a:p>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 Secondary Unbundled Injection Capacity - Purchased</a:t>
          </a:r>
        </a:p>
        <a:p>
          <a:pPr algn="l" rtl="0">
            <a:defRPr sz="1000"/>
          </a:pPr>
          <a:r>
            <a:rPr lang="en-GB" sz="1000" b="0" i="0" u="none" strike="noStrike" baseline="0">
              <a:solidFill>
                <a:srgbClr val="333333"/>
              </a:solidFill>
              <a:latin typeface="Verdana"/>
              <a:ea typeface="Verdana"/>
              <a:cs typeface="Verdana"/>
            </a:rPr>
            <a:t>- Secondary Unbundled Withdrawal Capacity - Purchased</a:t>
          </a:r>
        </a:p>
        <a:p>
          <a:pPr algn="l" rtl="0">
            <a:defRPr sz="1000"/>
          </a:pPr>
          <a:r>
            <a:rPr lang="en-GB" sz="1000" b="0" i="0" u="none" strike="noStrike" baseline="0">
              <a:solidFill>
                <a:srgbClr val="333333"/>
              </a:solidFill>
              <a:latin typeface="Verdana"/>
              <a:ea typeface="Verdana"/>
              <a:cs typeface="Verdana"/>
            </a:rPr>
            <a:t>- Secondary Unbundled Space - Purchased</a:t>
          </a:r>
        </a:p>
        <a:p>
          <a:pPr algn="l" rtl="0">
            <a:defRPr sz="1000"/>
          </a:pPr>
          <a:r>
            <a:rPr lang="en-GB" sz="1000" b="0" i="0" u="none" strike="noStrike" baseline="0">
              <a:solidFill>
                <a:srgbClr val="333333"/>
              </a:solidFill>
              <a:latin typeface="Verdana"/>
              <a:ea typeface="Verdana"/>
              <a:cs typeface="Verdana"/>
            </a:rPr>
            <a:t>- Secondary Unbundled Injection Capacity - Sold</a:t>
          </a:r>
        </a:p>
        <a:p>
          <a:pPr algn="l" rtl="0">
            <a:defRPr sz="1000"/>
          </a:pPr>
          <a:r>
            <a:rPr lang="en-GB" sz="1000" b="0" i="0" u="none" strike="noStrike" baseline="0">
              <a:solidFill>
                <a:srgbClr val="333333"/>
              </a:solidFill>
              <a:latin typeface="Verdana"/>
              <a:ea typeface="Verdana"/>
              <a:cs typeface="Verdana"/>
            </a:rPr>
            <a:t>- Secondary Unbundled Withdrawal Capacity - Sold</a:t>
          </a:r>
        </a:p>
        <a:p>
          <a:pPr algn="l" rtl="0">
            <a:defRPr sz="1000"/>
          </a:pPr>
          <a:r>
            <a:rPr lang="en-GB" sz="1000" b="0" i="0" u="none" strike="noStrike" baseline="0">
              <a:solidFill>
                <a:srgbClr val="333333"/>
              </a:solidFill>
              <a:latin typeface="Verdana"/>
              <a:ea typeface="Verdana"/>
              <a:cs typeface="Verdana"/>
            </a:rPr>
            <a:t>- Secondary Unbundled Space - Sold</a:t>
          </a:r>
        </a:p>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 Gas-In-Storage - Purchased</a:t>
          </a:r>
        </a:p>
        <a:p>
          <a:pPr algn="l" rtl="0">
            <a:defRPr sz="1000"/>
          </a:pPr>
          <a:r>
            <a:rPr lang="en-GB" sz="1000" b="0" i="0" u="none" strike="noStrike" baseline="0">
              <a:solidFill>
                <a:srgbClr val="333333"/>
              </a:solidFill>
              <a:latin typeface="Verdana"/>
              <a:ea typeface="Verdana"/>
              <a:cs typeface="Verdana"/>
            </a:rPr>
            <a:t>- Gas-In-Storage - Sold</a:t>
          </a:r>
        </a:p>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 Interruptible Injection Capacity</a:t>
          </a:r>
        </a:p>
        <a:p>
          <a:pPr algn="l" rtl="0">
            <a:defRPr sz="1000"/>
          </a:pPr>
          <a:r>
            <a:rPr lang="en-GB" sz="1000" b="0" i="0" u="none" strike="noStrike" baseline="0">
              <a:solidFill>
                <a:srgbClr val="333333"/>
              </a:solidFill>
              <a:latin typeface="Verdana"/>
              <a:ea typeface="Verdana"/>
              <a:cs typeface="Verdana"/>
            </a:rPr>
            <a:t>- Interruptible Withdrawal Capacity</a:t>
          </a:r>
        </a:p>
        <a:p>
          <a:pPr algn="l" rtl="0">
            <a:defRPr sz="1000"/>
          </a:pPr>
          <a:r>
            <a:rPr lang="en-GB" sz="1000" b="0" i="0" u="none" strike="noStrike" baseline="0">
              <a:solidFill>
                <a:srgbClr val="333333"/>
              </a:solidFill>
              <a:latin typeface="Verdana"/>
              <a:ea typeface="Verdana"/>
              <a:cs typeface="Verdana"/>
            </a:rPr>
            <a:t>- Interruptible Space</a:t>
          </a:r>
        </a:p>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 Firm Injection Usage</a:t>
          </a:r>
        </a:p>
        <a:p>
          <a:pPr algn="l" rtl="0">
            <a:lnSpc>
              <a:spcPts val="1100"/>
            </a:lnSpc>
            <a:defRPr sz="1000"/>
          </a:pPr>
          <a:r>
            <a:rPr lang="en-GB" sz="1000" b="0" i="0" u="none" strike="noStrike" baseline="0">
              <a:solidFill>
                <a:srgbClr val="333333"/>
              </a:solidFill>
              <a:latin typeface="Verdana"/>
              <a:ea typeface="Verdana"/>
              <a:cs typeface="Verdana"/>
            </a:rPr>
            <a:t>- Firm Withdrawal Usage</a:t>
          </a:r>
        </a:p>
        <a:p>
          <a:pPr algn="l" rtl="0">
            <a:defRPr sz="1000"/>
          </a:pPr>
          <a:endParaRPr lang="en-GB" sz="1000" b="0" i="0" u="none" strike="noStrike" baseline="0">
            <a:solidFill>
              <a:srgbClr val="333333"/>
            </a:solidFill>
            <a:latin typeface="Verdana"/>
            <a:ea typeface="Verdana"/>
            <a:cs typeface="Verdana"/>
          </a:endParaRPr>
        </a:p>
        <a:p>
          <a:pPr algn="l" rtl="0">
            <a:lnSpc>
              <a:spcPts val="1100"/>
            </a:lnSpc>
            <a:defRPr sz="1000"/>
          </a:pPr>
          <a:r>
            <a:rPr lang="en-GB" sz="1000" b="0" i="0" u="none" strike="noStrike" baseline="0">
              <a:solidFill>
                <a:srgbClr val="333333"/>
              </a:solidFill>
              <a:latin typeface="Verdana"/>
              <a:ea typeface="Verdana"/>
              <a:cs typeface="Verdana"/>
            </a:rPr>
            <a:t>- Interruptible Injection Usage</a:t>
          </a:r>
        </a:p>
        <a:p>
          <a:pPr algn="l" rtl="0">
            <a:defRPr sz="1000"/>
          </a:pPr>
          <a:r>
            <a:rPr lang="en-GB" sz="1000" b="0" i="0" u="none" strike="noStrike" baseline="0">
              <a:solidFill>
                <a:srgbClr val="333333"/>
              </a:solidFill>
              <a:latin typeface="Verdana"/>
              <a:ea typeface="Verdana"/>
              <a:cs typeface="Verdana"/>
            </a:rPr>
            <a:t>- Interruptible Withdrawal Usage</a:t>
          </a:r>
        </a:p>
        <a:p>
          <a:pPr algn="l" rtl="0">
            <a:lnSpc>
              <a:spcPts val="1100"/>
            </a:lnSpc>
            <a:defRPr sz="1000"/>
          </a:pPr>
          <a:endParaRPr lang="en-GB" sz="1000" b="0" i="0" u="none" strike="noStrike" baseline="0">
            <a:solidFill>
              <a:srgbClr val="333333"/>
            </a:solidFill>
            <a:latin typeface="Verdana"/>
            <a:ea typeface="Verdana"/>
            <a:cs typeface="Verdana"/>
          </a:endParaRPr>
        </a:p>
        <a:p>
          <a:pPr algn="l" rtl="0">
            <a:lnSpc>
              <a:spcPts val="1100"/>
            </a:lnSpc>
            <a:defRPr sz="1000"/>
          </a:pPr>
          <a:r>
            <a:rPr lang="en-GB" sz="1000" b="0" i="0" u="none" strike="noStrike" baseline="0">
              <a:solidFill>
                <a:srgbClr val="333333"/>
              </a:solidFill>
              <a:latin typeface="Verdana"/>
              <a:ea typeface="Verdana"/>
              <a:cs typeface="Verdana"/>
            </a:rPr>
            <a:t>- Secondary Trading Fee </a:t>
          </a:r>
          <a:r>
            <a:rPr lang="en-GB" sz="1000" b="0" i="1" u="none" strike="noStrike" baseline="0">
              <a:solidFill>
                <a:srgbClr val="333333"/>
              </a:solidFill>
              <a:latin typeface="Verdana"/>
              <a:ea typeface="Verdana"/>
              <a:cs typeface="Verdana"/>
            </a:rPr>
            <a:t>(Notified Trades and Register Transfers)</a:t>
          </a:r>
          <a:endParaRPr lang="en-GB" sz="1000" b="0" i="0" u="none" strike="noStrike" baseline="0">
            <a:solidFill>
              <a:srgbClr val="333333"/>
            </a:solidFill>
            <a:latin typeface="Verdana"/>
            <a:ea typeface="Verdana"/>
            <a:cs typeface="Verdana"/>
          </a:endParaRPr>
        </a:p>
        <a:p>
          <a:pPr algn="l" rtl="0">
            <a:defRPr sz="1000"/>
          </a:pPr>
          <a:endParaRPr lang="en-GB" sz="1000" b="0" i="0" u="none" strike="noStrike" baseline="0">
            <a:solidFill>
              <a:srgbClr val="333333"/>
            </a:solidFill>
            <a:latin typeface="Verdana"/>
            <a:ea typeface="Verdana"/>
            <a:cs typeface="Verdana"/>
          </a:endParaRPr>
        </a:p>
        <a:p>
          <a:pPr algn="l" rtl="0">
            <a:lnSpc>
              <a:spcPts val="1100"/>
            </a:lnSpc>
            <a:defRPr sz="1000"/>
          </a:pPr>
          <a:endParaRPr lang="en-GB" sz="1000" b="0" i="0" u="none" strike="noStrike" baseline="0">
            <a:solidFill>
              <a:srgbClr val="333333"/>
            </a:solidFill>
            <a:latin typeface="Verdana"/>
            <a:ea typeface="Verdana"/>
            <a:cs typeface="Verdana"/>
          </a:endParaRPr>
        </a:p>
        <a:p>
          <a:pPr algn="l" rtl="0">
            <a:defRPr sz="1000"/>
          </a:pPr>
          <a:endParaRPr lang="en-GB" sz="1000" b="0" i="0" u="none" strike="noStrike" baseline="0">
            <a:solidFill>
              <a:srgbClr val="333333"/>
            </a:solidFill>
            <a:latin typeface="Verdana"/>
            <a:ea typeface="Verdana"/>
            <a:cs typeface="Verdana"/>
          </a:endParaRPr>
        </a:p>
        <a:p>
          <a:pPr algn="l" rtl="0">
            <a:lnSpc>
              <a:spcPts val="1100"/>
            </a:lnSpc>
            <a:defRPr sz="1000"/>
          </a:pPr>
          <a:endParaRPr lang="en-GB"/>
        </a:p>
      </xdr:txBody>
    </xdr:sp>
    <xdr:clientData/>
  </xdr:twoCellAnchor>
  <xdr:twoCellAnchor>
    <xdr:from>
      <xdr:col>12</xdr:col>
      <xdr:colOff>57150</xdr:colOff>
      <xdr:row>2</xdr:row>
      <xdr:rowOff>104775</xdr:rowOff>
    </xdr:from>
    <xdr:to>
      <xdr:col>15</xdr:col>
      <xdr:colOff>581025</xdr:colOff>
      <xdr:row>9</xdr:row>
      <xdr:rowOff>66675</xdr:rowOff>
    </xdr:to>
    <xdr:sp macro="" textlink="">
      <xdr:nvSpPr>
        <xdr:cNvPr id="11268" name="Text Box 4"/>
        <xdr:cNvSpPr txBox="1">
          <a:spLocks noChangeArrowheads="1"/>
        </xdr:cNvSpPr>
      </xdr:nvSpPr>
      <xdr:spPr bwMode="auto">
        <a:xfrm>
          <a:off x="8162925" y="428625"/>
          <a:ext cx="2352675" cy="1095375"/>
        </a:xfrm>
        <a:prstGeom prst="rect">
          <a:avLst/>
        </a:prstGeom>
        <a:gradFill rotWithShape="1">
          <a:gsLst>
            <a:gs pos="0">
              <a:srgbClr val="C9ECFF"/>
            </a:gs>
            <a:gs pos="100000">
              <a:srgbClr val="EEF9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1" i="0" u="none" strike="noStrike" baseline="0">
              <a:solidFill>
                <a:srgbClr val="00529B"/>
              </a:solidFill>
              <a:latin typeface="Verdana"/>
              <a:ea typeface="Verdana"/>
              <a:cs typeface="Verdana"/>
            </a:rPr>
            <a:t>Refers to SSSA</a:t>
          </a:r>
        </a:p>
        <a:p>
          <a:pPr algn="l" rtl="0">
            <a:defRPr sz="1000"/>
          </a:pPr>
          <a:r>
            <a:rPr lang="en-US" sz="800" b="0" i="0" u="none" strike="noStrike" baseline="0">
              <a:solidFill>
                <a:srgbClr val="00529B"/>
              </a:solidFill>
              <a:latin typeface="Verdana"/>
              <a:ea typeface="Verdana"/>
              <a:cs typeface="Verdana"/>
            </a:rPr>
            <a:t>12. Fees</a:t>
          </a:r>
          <a:endParaRPr lang="en-US" sz="800" b="0" i="0" u="none" strike="noStrike" baseline="0">
            <a:solidFill>
              <a:srgbClr val="333333"/>
            </a:solidFill>
            <a:latin typeface="Verdana"/>
            <a:ea typeface="Verdana"/>
            <a:cs typeface="Verdana"/>
          </a:endParaRPr>
        </a:p>
        <a:p>
          <a:pPr algn="l" rtl="0">
            <a:defRPr sz="1000"/>
          </a:pPr>
          <a:r>
            <a:rPr lang="en-US" sz="800" b="0" i="0" u="none" strike="noStrike" baseline="0">
              <a:solidFill>
                <a:srgbClr val="00529B"/>
              </a:solidFill>
              <a:latin typeface="Verdana"/>
              <a:ea typeface="Verdana"/>
              <a:cs typeface="Verdana"/>
            </a:rPr>
            <a:t>13. Invoicing and Payment</a:t>
          </a:r>
        </a:p>
        <a:p>
          <a:pPr algn="l" rtl="0">
            <a:defRPr sz="1000"/>
          </a:pPr>
          <a:r>
            <a:rPr lang="en-US" sz="800" b="0" i="0" u="none" strike="noStrike" baseline="0">
              <a:solidFill>
                <a:srgbClr val="00529B"/>
              </a:solidFill>
              <a:latin typeface="Verdana"/>
              <a:ea typeface="Verdana"/>
              <a:cs typeface="Verdana"/>
            </a:rPr>
            <a:t>Schedule G Pro-Forma Billing Statement</a:t>
          </a:r>
        </a:p>
        <a:p>
          <a:pPr algn="l" rtl="0">
            <a:defRPr sz="1000"/>
          </a:pPr>
          <a:endParaRPr lang="en-US" sz="800" b="0" i="0" u="none" strike="noStrike" baseline="0">
            <a:solidFill>
              <a:srgbClr val="333333"/>
            </a:solidFill>
            <a:latin typeface="Verdana"/>
            <a:ea typeface="Verdana"/>
            <a:cs typeface="Verdana"/>
          </a:endParaRPr>
        </a:p>
        <a:p>
          <a:pPr algn="l" rtl="0">
            <a:defRPr sz="1000"/>
          </a:pPr>
          <a:endParaRPr lang="en-US" sz="800" b="0" i="0" u="none" strike="noStrike" baseline="0">
            <a:solidFill>
              <a:srgbClr val="333333"/>
            </a:solidFill>
            <a:latin typeface="Verdana"/>
            <a:ea typeface="Verdana"/>
            <a:cs typeface="Verdana"/>
          </a:endParaRPr>
        </a:p>
      </xdr:txBody>
    </xdr:sp>
    <xdr:clientData/>
  </xdr:twoCellAnchor>
  <xdr:twoCellAnchor editAs="oneCell">
    <xdr:from>
      <xdr:col>0</xdr:col>
      <xdr:colOff>0</xdr:colOff>
      <xdr:row>0</xdr:row>
      <xdr:rowOff>0</xdr:rowOff>
    </xdr:from>
    <xdr:to>
      <xdr:col>3</xdr:col>
      <xdr:colOff>1209675</xdr:colOff>
      <xdr:row>4</xdr:row>
      <xdr:rowOff>142875</xdr:rowOff>
    </xdr:to>
    <xdr:pic>
      <xdr:nvPicPr>
        <xdr:cNvPr id="11288" name="Picture 13" descr="H:\logo-201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098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6</xdr:row>
      <xdr:rowOff>104775</xdr:rowOff>
    </xdr:from>
    <xdr:to>
      <xdr:col>3</xdr:col>
      <xdr:colOff>847725</xdr:colOff>
      <xdr:row>8</xdr:row>
      <xdr:rowOff>142875</xdr:rowOff>
    </xdr:to>
    <xdr:pic>
      <xdr:nvPicPr>
        <xdr:cNvPr id="15376" name="Picture 10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76625" y="1076325"/>
          <a:ext cx="8477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2419350</xdr:colOff>
      <xdr:row>0</xdr:row>
      <xdr:rowOff>95250</xdr:rowOff>
    </xdr:from>
    <xdr:to>
      <xdr:col>5</xdr:col>
      <xdr:colOff>4772025</xdr:colOff>
      <xdr:row>7</xdr:row>
      <xdr:rowOff>57150</xdr:rowOff>
    </xdr:to>
    <xdr:sp macro="" textlink="">
      <xdr:nvSpPr>
        <xdr:cNvPr id="15363" name="Text Box 1027"/>
        <xdr:cNvSpPr txBox="1">
          <a:spLocks noChangeArrowheads="1"/>
        </xdr:cNvSpPr>
      </xdr:nvSpPr>
      <xdr:spPr bwMode="auto">
        <a:xfrm>
          <a:off x="11410950" y="95250"/>
          <a:ext cx="2352675" cy="1095375"/>
        </a:xfrm>
        <a:prstGeom prst="rect">
          <a:avLst/>
        </a:prstGeom>
        <a:gradFill rotWithShape="1">
          <a:gsLst>
            <a:gs pos="0">
              <a:srgbClr val="C9ECFF"/>
            </a:gs>
            <a:gs pos="100000">
              <a:srgbClr val="EEF9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1" i="0" u="none" strike="noStrike" baseline="0">
              <a:solidFill>
                <a:srgbClr val="00529B"/>
              </a:solidFill>
              <a:latin typeface="Verdana"/>
              <a:ea typeface="Verdana"/>
              <a:cs typeface="Verdana"/>
            </a:rPr>
            <a:t>Refers to SSSA</a:t>
          </a:r>
        </a:p>
        <a:p>
          <a:pPr algn="l" rtl="0">
            <a:defRPr sz="1000"/>
          </a:pPr>
          <a:r>
            <a:rPr lang="en-US" sz="800" b="0" i="0" u="none" strike="noStrike" baseline="0">
              <a:solidFill>
                <a:srgbClr val="00529B"/>
              </a:solidFill>
              <a:latin typeface="Verdana"/>
              <a:ea typeface="Verdana"/>
              <a:cs typeface="Verdana"/>
            </a:rPr>
            <a:t>5. Injection and Withdrawal</a:t>
          </a:r>
          <a:endParaRPr lang="en-US" sz="800" b="0" i="0" u="none" strike="noStrike" baseline="0">
            <a:solidFill>
              <a:srgbClr val="333333"/>
            </a:solidFill>
            <a:latin typeface="Verdana"/>
            <a:ea typeface="Verdana"/>
            <a:cs typeface="Verdana"/>
          </a:endParaRPr>
        </a:p>
        <a:p>
          <a:pPr algn="l" rtl="0">
            <a:defRPr sz="1000"/>
          </a:pPr>
          <a:r>
            <a:rPr lang="en-US" sz="800" b="0" i="0" u="none" strike="noStrike" baseline="0">
              <a:solidFill>
                <a:srgbClr val="00529B"/>
              </a:solidFill>
              <a:latin typeface="Verdana"/>
              <a:ea typeface="Verdana"/>
              <a:cs typeface="Verdana"/>
            </a:rPr>
            <a:t>15. Damages and Liability</a:t>
          </a:r>
          <a:endParaRPr lang="en-US" sz="800" b="0" i="0" u="none" strike="noStrike" baseline="0">
            <a:solidFill>
              <a:srgbClr val="333333"/>
            </a:solidFill>
            <a:latin typeface="Verdana"/>
            <a:ea typeface="Verdana"/>
            <a:cs typeface="Verdana"/>
          </a:endParaRPr>
        </a:p>
        <a:p>
          <a:pPr algn="l" rtl="0">
            <a:defRPr sz="1000"/>
          </a:pPr>
          <a:endParaRPr lang="en-US" sz="800" b="0" i="0" u="none" strike="noStrike" baseline="0">
            <a:solidFill>
              <a:srgbClr val="333333"/>
            </a:solidFill>
            <a:latin typeface="Verdana"/>
            <a:ea typeface="Verdana"/>
            <a:cs typeface="Verdana"/>
          </a:endParaRPr>
        </a:p>
      </xdr:txBody>
    </xdr:sp>
    <xdr:clientData/>
  </xdr:twoCellAnchor>
  <xdr:twoCellAnchor editAs="oneCell">
    <xdr:from>
      <xdr:col>0</xdr:col>
      <xdr:colOff>0</xdr:colOff>
      <xdr:row>0</xdr:row>
      <xdr:rowOff>0</xdr:rowOff>
    </xdr:from>
    <xdr:to>
      <xdr:col>1</xdr:col>
      <xdr:colOff>2057400</xdr:colOff>
      <xdr:row>4</xdr:row>
      <xdr:rowOff>142875</xdr:rowOff>
    </xdr:to>
    <xdr:pic>
      <xdr:nvPicPr>
        <xdr:cNvPr id="15378" name="Picture 13" descr="H:\logo-2012.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2098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1352550</xdr:colOff>
      <xdr:row>4</xdr:row>
      <xdr:rowOff>142875</xdr:rowOff>
    </xdr:to>
    <xdr:pic>
      <xdr:nvPicPr>
        <xdr:cNvPr id="2" name="Picture 13" descr="H:\logo-201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098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1790700</xdr:colOff>
      <xdr:row>0</xdr:row>
      <xdr:rowOff>133350</xdr:rowOff>
    </xdr:from>
    <xdr:to>
      <xdr:col>4</xdr:col>
      <xdr:colOff>8705850</xdr:colOff>
      <xdr:row>14</xdr:row>
      <xdr:rowOff>38101</xdr:rowOff>
    </xdr:to>
    <xdr:sp macro="" textlink="">
      <xdr:nvSpPr>
        <xdr:cNvPr id="5" name="Text Box 2"/>
        <xdr:cNvSpPr txBox="1">
          <a:spLocks noChangeArrowheads="1"/>
        </xdr:cNvSpPr>
      </xdr:nvSpPr>
      <xdr:spPr bwMode="auto">
        <a:xfrm>
          <a:off x="2647950" y="133350"/>
          <a:ext cx="11515725" cy="1847851"/>
        </a:xfrm>
        <a:prstGeom prst="rect">
          <a:avLst/>
        </a:prstGeom>
        <a:gradFill rotWithShape="1">
          <a:gsLst>
            <a:gs pos="0">
              <a:srgbClr val="C9ECFF"/>
            </a:gs>
            <a:gs pos="100000">
              <a:srgbClr val="FFFFFF"/>
            </a:gs>
          </a:gsLst>
          <a:lin ang="5400000" scaled="1"/>
        </a:gradFill>
        <a:ln>
          <a:noFill/>
        </a:ln>
        <a:extLst>
          <a:ext uri="{91240B29-F687-4F45-9708-019B960494DF}">
            <a14:hiddenLine xmlns:a14="http://schemas.microsoft.com/office/drawing/2010/main" w="19050">
              <a:solidFill>
                <a:srgbClr xmlns:mc="http://schemas.openxmlformats.org/markup-compatibility/2006" val="808080" mc:Ignorable="a14" a14:legacySpreadsheetColorIndex="23"/>
              </a:solidFill>
              <a:miter lim="800000"/>
              <a:headEnd/>
              <a:tailEnd/>
            </a14:hiddenLine>
          </a:ext>
        </a:extLst>
      </xdr:spPr>
      <xdr:txBody>
        <a:bodyPr vertOverflow="clip" wrap="square" lIns="36576" tIns="22860" rIns="0" bIns="0" anchor="t" upright="1"/>
        <a:lstStyle/>
        <a:p>
          <a:pPr algn="l" rtl="0">
            <a:lnSpc>
              <a:spcPts val="1000"/>
            </a:lnSpc>
            <a:defRPr sz="1000"/>
          </a:pPr>
          <a:r>
            <a:rPr lang="en-GB" sz="1000" b="1" i="0" u="none" strike="noStrike" baseline="0">
              <a:solidFill>
                <a:srgbClr val="333333"/>
              </a:solidFill>
              <a:latin typeface="Verdana"/>
              <a:ea typeface="Verdana"/>
              <a:cs typeface="Verdana"/>
            </a:rPr>
            <a:t>Working Gas As Collateral (ACCESS framework agreement)</a:t>
          </a:r>
        </a:p>
        <a:p>
          <a:pPr algn="l" rtl="0">
            <a:lnSpc>
              <a:spcPts val="1000"/>
            </a:lnSpc>
            <a:defRPr sz="1000"/>
          </a:pPr>
          <a:endParaRPr lang="en-GB" sz="1000" b="0" i="0" u="none" strike="noStrike" baseline="0">
            <a:solidFill>
              <a:srgbClr val="333333"/>
            </a:solidFill>
            <a:latin typeface="Verdana"/>
            <a:ea typeface="Verdana"/>
            <a:cs typeface="Verdana"/>
          </a:endParaRPr>
        </a:p>
        <a:p>
          <a:r>
            <a:rPr lang="en-US" sz="1100" b="0">
              <a:effectLst/>
              <a:latin typeface="+mn-lt"/>
              <a:ea typeface="+mn-ea"/>
              <a:cs typeface="+mn-cs"/>
            </a:rPr>
            <a:t>TAQA, BNP Paribas, Citi and Rabobank are pleased to present the finalized ACCESS framework agreement allowing Gas Storage Bergermeer customers to make effective use of the value of their stored gas as collateral or as the subject of sale and repurchase arrangements until the gas is withdrawn. </a:t>
          </a:r>
        </a:p>
        <a:p>
          <a:endParaRPr lang="en-US" sz="1100">
            <a:effectLst/>
            <a:latin typeface="+mn-lt"/>
            <a:ea typeface="+mn-ea"/>
            <a:cs typeface="+mn-cs"/>
          </a:endParaRPr>
        </a:p>
        <a:p>
          <a:r>
            <a:rPr lang="en-US" sz="1100">
              <a:effectLst/>
              <a:latin typeface="+mn-lt"/>
              <a:ea typeface="+mn-ea"/>
              <a:cs typeface="+mn-cs"/>
            </a:rPr>
            <a:t>The ACCESS framework agreement creates an open and flexible framework allowing customers to partner with the financial institutions of their preference. Furthermore, it gives the customer and the bank the flexibility to tailor the transaction to their own individual needs. </a:t>
          </a:r>
        </a:p>
        <a:p>
          <a:r>
            <a:rPr lang="en-US" sz="1100">
              <a:effectLst/>
              <a:latin typeface="+mn-lt"/>
              <a:ea typeface="+mn-ea"/>
              <a:cs typeface="+mn-cs"/>
            </a:rPr>
            <a:t> </a:t>
          </a:r>
        </a:p>
        <a:p>
          <a:r>
            <a:rPr lang="en-US" sz="1100">
              <a:effectLst/>
              <a:latin typeface="+mn-lt"/>
              <a:ea typeface="+mn-ea"/>
              <a:cs typeface="+mn-cs"/>
            </a:rPr>
            <a:t>The agreement also allows for customers to use the value of the gas in storage to improve their working capital management. By using their gas as collateral (under a secured loan or a sale and repurchase arrangement) customers would be eligible for favorable financing terms. The duration of a secured arrangement can be tailored to the portfolio needs of the customer. </a:t>
          </a:r>
        </a:p>
        <a:p>
          <a:endParaRPr lang="en-US" sz="1100">
            <a:effectLst/>
            <a:latin typeface="+mn-lt"/>
            <a:ea typeface="+mn-ea"/>
            <a:cs typeface="+mn-cs"/>
          </a:endParaRPr>
        </a:p>
        <a:p>
          <a:pPr algn="l" rtl="0">
            <a:lnSpc>
              <a:spcPts val="1000"/>
            </a:lnSpc>
            <a:defRPr sz="1000"/>
          </a:pPr>
          <a:endParaRPr lang="en-GB" sz="1000" b="0" i="0" u="none" strike="noStrike" baseline="0">
            <a:solidFill>
              <a:srgbClr val="333333"/>
            </a:solidFill>
            <a:latin typeface="Verdana"/>
            <a:ea typeface="Verdana"/>
            <a:cs typeface="Verdana"/>
          </a:endParaRPr>
        </a:p>
        <a:p>
          <a:pPr algn="l" rtl="0">
            <a:lnSpc>
              <a:spcPts val="1100"/>
            </a:lnSpc>
            <a:defRPr sz="1000"/>
          </a:pPr>
          <a:endParaRPr lang="en-GB" sz="1000" b="0" i="0" u="none" strike="noStrike" baseline="0">
            <a:solidFill>
              <a:srgbClr val="333333"/>
            </a:solidFill>
            <a:latin typeface="Verdana"/>
            <a:ea typeface="Verdana"/>
            <a:cs typeface="Verdana"/>
          </a:endParaRPr>
        </a:p>
        <a:p>
          <a:pPr algn="l" rtl="0">
            <a:lnSpc>
              <a:spcPts val="1000"/>
            </a:lnSpc>
            <a:defRPr sz="1000"/>
          </a:pPr>
          <a:endParaRPr lang="en-GB" sz="1000" b="0" i="0" u="none" strike="noStrike" baseline="0">
            <a:solidFill>
              <a:srgbClr val="333333"/>
            </a:solidFill>
            <a:latin typeface="Verdana"/>
            <a:ea typeface="Verdana"/>
            <a:cs typeface="Verdana"/>
          </a:endParaRPr>
        </a:p>
        <a:p>
          <a:pPr algn="l" rtl="0">
            <a:lnSpc>
              <a:spcPts val="1000"/>
            </a:lnSpc>
            <a:defRPr sz="1000"/>
          </a:pPr>
          <a:endParaRPr lang="en-GB"/>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19</xdr:row>
      <xdr:rowOff>9525</xdr:rowOff>
    </xdr:from>
    <xdr:to>
      <xdr:col>23</xdr:col>
      <xdr:colOff>238125</xdr:colOff>
      <xdr:row>29</xdr:row>
      <xdr:rowOff>95250</xdr:rowOff>
    </xdr:to>
    <xdr:sp macro="" textlink="">
      <xdr:nvSpPr>
        <xdr:cNvPr id="3092" name="Text Box 20"/>
        <xdr:cNvSpPr txBox="1">
          <a:spLocks noChangeArrowheads="1"/>
        </xdr:cNvSpPr>
      </xdr:nvSpPr>
      <xdr:spPr bwMode="auto">
        <a:xfrm>
          <a:off x="76200" y="3086100"/>
          <a:ext cx="14182725" cy="1704975"/>
        </a:xfrm>
        <a:prstGeom prst="rect">
          <a:avLst/>
        </a:prstGeom>
        <a:gradFill rotWithShape="1">
          <a:gsLst>
            <a:gs pos="0">
              <a:srgbClr val="C9ECFF"/>
            </a:gs>
            <a:gs pos="100000">
              <a:srgbClr val="EEF9FF"/>
            </a:gs>
          </a:gsLst>
          <a:lin ang="5400000" scaled="1"/>
        </a:gradFill>
        <a:ln>
          <a:noFill/>
        </a:ln>
        <a:extLst>
          <a:ext uri="{91240B29-F687-4F45-9708-019B960494DF}">
            <a14:hiddenLine xmlns:a14="http://schemas.microsoft.com/office/drawing/2010/main" w="19050">
              <a:solidFill>
                <a:srgbClr xmlns:mc="http://schemas.openxmlformats.org/markup-compatibility/2006" val="808080" mc:Ignorable="a14" a14:legacySpreadsheetColorIndex="23"/>
              </a:solidFill>
              <a:miter lim="800000"/>
              <a:headEnd/>
              <a:tailEnd/>
            </a14:hiddenLine>
          </a:ext>
        </a:extLst>
      </xdr:spPr>
      <xdr:txBody>
        <a:bodyPr vertOverflow="clip" wrap="square" lIns="27432" tIns="22860" rIns="0" bIns="0" anchor="t" upright="1"/>
        <a:lstStyle/>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Light blue cells are input (can be changed by the user)</a:t>
          </a:r>
        </a:p>
        <a:p>
          <a:pPr algn="l" rtl="0">
            <a:defRPr sz="1000"/>
          </a:pPr>
          <a:r>
            <a:rPr lang="en-GB" sz="1000" b="0" i="0" u="none" strike="noStrike" baseline="0">
              <a:solidFill>
                <a:srgbClr val="333333"/>
              </a:solidFill>
              <a:latin typeface="Verdana"/>
              <a:ea typeface="Verdana"/>
              <a:cs typeface="Verdana"/>
            </a:rPr>
            <a:t>Green cells are fixed input (can not be changed by the user)</a:t>
          </a:r>
        </a:p>
        <a:p>
          <a:pPr algn="l" rtl="0">
            <a:defRPr sz="1000"/>
          </a:pPr>
          <a:r>
            <a:rPr lang="en-GB" sz="1000" b="0" i="0" u="none" strike="noStrike" baseline="0">
              <a:solidFill>
                <a:srgbClr val="333333"/>
              </a:solidFill>
              <a:latin typeface="Verdana"/>
              <a:ea typeface="Verdana"/>
              <a:cs typeface="Verdana"/>
            </a:rPr>
            <a:t>Dark blue cells are calculations</a:t>
          </a:r>
        </a:p>
        <a:p>
          <a:pPr algn="l" rtl="0">
            <a:defRPr sz="1000"/>
          </a:pPr>
          <a:r>
            <a:rPr lang="en-GB" sz="1000" b="0" i="0" u="none" strike="noStrike" baseline="0">
              <a:solidFill>
                <a:srgbClr val="333333"/>
              </a:solidFill>
              <a:latin typeface="Verdana"/>
              <a:ea typeface="Verdana"/>
              <a:cs typeface="Verdana"/>
            </a:rPr>
            <a:t>White cells contain summations</a:t>
          </a:r>
        </a:p>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Each sheet contains a textbox showing which parts </a:t>
          </a:r>
        </a:p>
        <a:p>
          <a:pPr algn="l" rtl="0">
            <a:defRPr sz="1000"/>
          </a:pPr>
          <a:r>
            <a:rPr lang="en-GB" sz="1000" b="0" i="0" u="none" strike="noStrike" baseline="0">
              <a:solidFill>
                <a:srgbClr val="333333"/>
              </a:solidFill>
              <a:latin typeface="Verdana"/>
              <a:ea typeface="Verdana"/>
              <a:cs typeface="Verdana"/>
            </a:rPr>
            <a:t>of the SSSA are referenced in the examples.</a:t>
          </a:r>
        </a:p>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D 06-07 equals D 06:00 in the SSSA</a:t>
          </a:r>
          <a:endParaRPr lang="en-GB" sz="1000" b="1" i="0" u="none" strike="noStrike" baseline="0">
            <a:solidFill>
              <a:srgbClr val="333333"/>
            </a:solidFill>
            <a:latin typeface="Verdana"/>
            <a:ea typeface="Verdana"/>
            <a:cs typeface="Verdana"/>
          </a:endParaRPr>
        </a:p>
        <a:p>
          <a:pPr algn="l" rtl="0">
            <a:defRPr sz="1000"/>
          </a:pPr>
          <a:endParaRPr lang="en-GB"/>
        </a:p>
      </xdr:txBody>
    </xdr:sp>
    <xdr:clientData/>
  </xdr:twoCellAnchor>
  <xdr:twoCellAnchor>
    <xdr:from>
      <xdr:col>0</xdr:col>
      <xdr:colOff>0</xdr:colOff>
      <xdr:row>2</xdr:row>
      <xdr:rowOff>57150</xdr:rowOff>
    </xdr:from>
    <xdr:to>
      <xdr:col>0</xdr:col>
      <xdr:colOff>0</xdr:colOff>
      <xdr:row>3</xdr:row>
      <xdr:rowOff>152400</xdr:rowOff>
    </xdr:to>
    <xdr:sp macro="" textlink="">
      <xdr:nvSpPr>
        <xdr:cNvPr id="3156" name="Rectangle 1"/>
        <xdr:cNvSpPr>
          <a:spLocks noChangeArrowheads="1"/>
        </xdr:cNvSpPr>
      </xdr:nvSpPr>
      <xdr:spPr bwMode="auto">
        <a:xfrm>
          <a:off x="0" y="381000"/>
          <a:ext cx="0" cy="257175"/>
        </a:xfrm>
        <a:prstGeom prst="rect">
          <a:avLst/>
        </a:prstGeom>
        <a:solidFill>
          <a:srgbClr val="EEF9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4</xdr:row>
      <xdr:rowOff>47625</xdr:rowOff>
    </xdr:from>
    <xdr:to>
      <xdr:col>0</xdr:col>
      <xdr:colOff>0</xdr:colOff>
      <xdr:row>6</xdr:row>
      <xdr:rowOff>0</xdr:rowOff>
    </xdr:to>
    <xdr:sp macro="" textlink="">
      <xdr:nvSpPr>
        <xdr:cNvPr id="3157" name="Rectangle 2"/>
        <xdr:cNvSpPr>
          <a:spLocks noChangeArrowheads="1"/>
        </xdr:cNvSpPr>
      </xdr:nvSpPr>
      <xdr:spPr bwMode="auto">
        <a:xfrm>
          <a:off x="0" y="695325"/>
          <a:ext cx="0" cy="276225"/>
        </a:xfrm>
        <a:prstGeom prst="rect">
          <a:avLst/>
        </a:prstGeom>
        <a:solidFill>
          <a:srgbClr val="50C9E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5</xdr:row>
      <xdr:rowOff>19050</xdr:rowOff>
    </xdr:from>
    <xdr:to>
      <xdr:col>0</xdr:col>
      <xdr:colOff>0</xdr:colOff>
      <xdr:row>6</xdr:row>
      <xdr:rowOff>133350</xdr:rowOff>
    </xdr:to>
    <xdr:sp macro="" textlink="">
      <xdr:nvSpPr>
        <xdr:cNvPr id="3158" name="Rectangle 3"/>
        <xdr:cNvSpPr>
          <a:spLocks noChangeArrowheads="1"/>
        </xdr:cNvSpPr>
      </xdr:nvSpPr>
      <xdr:spPr bwMode="auto">
        <a:xfrm>
          <a:off x="0" y="828675"/>
          <a:ext cx="0" cy="276225"/>
        </a:xfrm>
        <a:prstGeom prst="rect">
          <a:avLst/>
        </a:prstGeom>
        <a:solidFill>
          <a:srgbClr val="00529B"/>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7</xdr:row>
      <xdr:rowOff>19050</xdr:rowOff>
    </xdr:from>
    <xdr:to>
      <xdr:col>0</xdr:col>
      <xdr:colOff>0</xdr:colOff>
      <xdr:row>8</xdr:row>
      <xdr:rowOff>133350</xdr:rowOff>
    </xdr:to>
    <xdr:sp macro="" textlink="">
      <xdr:nvSpPr>
        <xdr:cNvPr id="3159" name="Rectangle 4"/>
        <xdr:cNvSpPr>
          <a:spLocks noChangeArrowheads="1"/>
        </xdr:cNvSpPr>
      </xdr:nvSpPr>
      <xdr:spPr bwMode="auto">
        <a:xfrm>
          <a:off x="0" y="1152525"/>
          <a:ext cx="0" cy="276225"/>
        </a:xfrm>
        <a:prstGeom prst="rect">
          <a:avLst/>
        </a:prstGeom>
        <a:solidFill>
          <a:srgbClr val="0AB14B"/>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76200</xdr:colOff>
      <xdr:row>6</xdr:row>
      <xdr:rowOff>142875</xdr:rowOff>
    </xdr:from>
    <xdr:to>
      <xdr:col>23</xdr:col>
      <xdr:colOff>238125</xdr:colOff>
      <xdr:row>18</xdr:row>
      <xdr:rowOff>133350</xdr:rowOff>
    </xdr:to>
    <xdr:sp macro="" textlink="">
      <xdr:nvSpPr>
        <xdr:cNvPr id="3078" name="Text Box 6"/>
        <xdr:cNvSpPr txBox="1">
          <a:spLocks noChangeArrowheads="1"/>
        </xdr:cNvSpPr>
      </xdr:nvSpPr>
      <xdr:spPr bwMode="auto">
        <a:xfrm>
          <a:off x="76200" y="1114425"/>
          <a:ext cx="14182725" cy="1933575"/>
        </a:xfrm>
        <a:prstGeom prst="rect">
          <a:avLst/>
        </a:prstGeom>
        <a:gradFill rotWithShape="1">
          <a:gsLst>
            <a:gs pos="0">
              <a:srgbClr val="C9ECFF"/>
            </a:gs>
            <a:gs pos="100000">
              <a:srgbClr val="EEF9FF"/>
            </a:gs>
          </a:gsLst>
          <a:lin ang="5400000" scaled="1"/>
        </a:gradFill>
        <a:ln>
          <a:noFill/>
        </a:ln>
        <a:extLst>
          <a:ext uri="{91240B29-F687-4F45-9708-019B960494DF}">
            <a14:hiddenLine xmlns:a14="http://schemas.microsoft.com/office/drawing/2010/main" w="19050">
              <a:solidFill>
                <a:srgbClr xmlns:mc="http://schemas.openxmlformats.org/markup-compatibility/2006" val="808080" mc:Ignorable="a14" a14:legacySpreadsheetColorIndex="23"/>
              </a:solidFill>
              <a:miter lim="800000"/>
              <a:headEnd/>
              <a:tailEnd/>
            </a14:hiddenLine>
          </a:ext>
        </a:extLst>
      </xdr:spPr>
      <xdr:txBody>
        <a:bodyPr vertOverflow="clip" wrap="square" lIns="27432" tIns="22860" rIns="0" bIns="0" anchor="t" upright="1"/>
        <a:lstStyle/>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This workbook contains several examples to support and explain the SSSA.</a:t>
          </a:r>
        </a:p>
        <a:p>
          <a:pPr algn="l" rtl="0">
            <a:defRPr sz="1000"/>
          </a:pPr>
          <a:r>
            <a:rPr lang="en-GB" sz="1000" b="0" i="0" u="none" strike="noStrike" baseline="0">
              <a:solidFill>
                <a:srgbClr val="333333"/>
              </a:solidFill>
              <a:latin typeface="Verdana"/>
              <a:ea typeface="Verdana"/>
              <a:cs typeface="Verdana"/>
            </a:rPr>
            <a:t>These examples are based on information &amp; explanations requested by our potential customers so far. </a:t>
          </a:r>
        </a:p>
        <a:p>
          <a:pPr algn="l" rtl="0">
            <a:defRPr sz="1000"/>
          </a:pPr>
          <a:r>
            <a:rPr lang="en-GB" sz="1000" b="0" i="0" u="none" strike="noStrike" baseline="0">
              <a:solidFill>
                <a:srgbClr val="333333"/>
              </a:solidFill>
              <a:latin typeface="Verdana"/>
              <a:ea typeface="Verdana"/>
              <a:cs typeface="Verdana"/>
            </a:rPr>
            <a:t>These examples may be revised and extended in the future.</a:t>
          </a:r>
        </a:p>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The following subjects are discussed in detail:</a:t>
          </a:r>
        </a:p>
        <a:p>
          <a:pPr algn="l" rtl="0">
            <a:defRPr sz="1000"/>
          </a:pPr>
          <a:r>
            <a:rPr lang="en-GB" sz="1000" b="0" i="0" u="none" strike="noStrike" baseline="0">
              <a:solidFill>
                <a:srgbClr val="333333"/>
              </a:solidFill>
              <a:latin typeface="Verdana"/>
              <a:ea typeface="Verdana"/>
              <a:cs typeface="Verdana"/>
            </a:rPr>
            <a:t>   - Use It Or Lose It (UIOLI)</a:t>
          </a:r>
        </a:p>
        <a:p>
          <a:pPr algn="l" rtl="0">
            <a:defRPr sz="1000"/>
          </a:pPr>
          <a:r>
            <a:rPr lang="en-GB" sz="1000" b="0" i="0" u="none" strike="noStrike" baseline="0">
              <a:solidFill>
                <a:srgbClr val="333333"/>
              </a:solidFill>
              <a:latin typeface="Verdana"/>
              <a:ea typeface="Verdana"/>
              <a:cs typeface="Verdana"/>
            </a:rPr>
            <a:t>   - Secondary Trading</a:t>
          </a:r>
        </a:p>
        <a:p>
          <a:pPr algn="l" rtl="0">
            <a:defRPr sz="1000"/>
          </a:pPr>
          <a:r>
            <a:rPr lang="en-GB" sz="1000" b="0" i="0" u="none" strike="noStrike" baseline="0">
              <a:solidFill>
                <a:srgbClr val="333333"/>
              </a:solidFill>
              <a:latin typeface="Verdana"/>
              <a:ea typeface="Verdana"/>
              <a:cs typeface="Verdana"/>
            </a:rPr>
            <a:t>   - Invoicing</a:t>
          </a:r>
        </a:p>
        <a:p>
          <a:pPr algn="l" rtl="0">
            <a:defRPr sz="1000"/>
          </a:pPr>
          <a:r>
            <a:rPr lang="en-GB" sz="1000" b="0" i="0" u="none" strike="noStrike" baseline="0">
              <a:solidFill>
                <a:srgbClr val="333333"/>
              </a:solidFill>
              <a:latin typeface="Verdana"/>
              <a:ea typeface="Verdana"/>
              <a:cs typeface="Verdana"/>
            </a:rPr>
            <a:t>   - Maintenance, Outages and Liquidated Damages (LDs)</a:t>
          </a:r>
          <a:endParaRPr lang="en-GB" sz="1000" b="1" i="0" u="none" strike="noStrike" baseline="0">
            <a:solidFill>
              <a:srgbClr val="333333"/>
            </a:solidFill>
            <a:latin typeface="Verdana"/>
            <a:ea typeface="Verdana"/>
            <a:cs typeface="Verdana"/>
          </a:endParaRPr>
        </a:p>
        <a:p>
          <a:pPr algn="l" rtl="0">
            <a:defRPr sz="1000"/>
          </a:pPr>
          <a:endParaRPr lang="en-GB"/>
        </a:p>
      </xdr:txBody>
    </xdr:sp>
    <xdr:clientData/>
  </xdr:twoCellAnchor>
  <xdr:twoCellAnchor>
    <xdr:from>
      <xdr:col>0</xdr:col>
      <xdr:colOff>76200</xdr:colOff>
      <xdr:row>5</xdr:row>
      <xdr:rowOff>104775</xdr:rowOff>
    </xdr:from>
    <xdr:to>
      <xdr:col>3</xdr:col>
      <xdr:colOff>323850</xdr:colOff>
      <xdr:row>6</xdr:row>
      <xdr:rowOff>142875</xdr:rowOff>
    </xdr:to>
    <xdr:sp macro="" textlink="">
      <xdr:nvSpPr>
        <xdr:cNvPr id="3079" name="Text Box 7"/>
        <xdr:cNvSpPr txBox="1">
          <a:spLocks noChangeArrowheads="1"/>
        </xdr:cNvSpPr>
      </xdr:nvSpPr>
      <xdr:spPr bwMode="auto">
        <a:xfrm>
          <a:off x="76200" y="914400"/>
          <a:ext cx="2076450" cy="200025"/>
        </a:xfrm>
        <a:prstGeom prst="rect">
          <a:avLst/>
        </a:prstGeom>
        <a:gradFill rotWithShape="1">
          <a:gsLst>
            <a:gs pos="0">
              <a:srgbClr xmlns:mc="http://schemas.openxmlformats.org/markup-compatibility/2006" xmlns:a14="http://schemas.microsoft.com/office/drawing/2010/main" val="50C9E8" mc:Ignorable="a14" a14:legacySpreadsheetColorIndex="25"/>
            </a:gs>
            <a:gs pos="100000">
              <a:srgbClr xmlns:mc="http://schemas.openxmlformats.org/markup-compatibility/2006" xmlns:a14="http://schemas.microsoft.com/office/drawing/2010/main" val="808080" mc:Ignorable="a14" a14:legacySpreadsheetColorIndex="23"/>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en-GB" sz="1000" b="1" i="0" u="none" strike="noStrike" baseline="0">
              <a:solidFill>
                <a:srgbClr val="000080"/>
              </a:solidFill>
              <a:latin typeface="Verdana"/>
              <a:ea typeface="Verdana"/>
              <a:cs typeface="Verdana"/>
            </a:rPr>
            <a:t>Purpose of this workbook</a:t>
          </a:r>
          <a:endParaRPr lang="en-GB"/>
        </a:p>
      </xdr:txBody>
    </xdr:sp>
    <xdr:clientData/>
  </xdr:twoCellAnchor>
  <xdr:twoCellAnchor>
    <xdr:from>
      <xdr:col>0</xdr:col>
      <xdr:colOff>76200</xdr:colOff>
      <xdr:row>31</xdr:row>
      <xdr:rowOff>28575</xdr:rowOff>
    </xdr:from>
    <xdr:to>
      <xdr:col>23</xdr:col>
      <xdr:colOff>238125</xdr:colOff>
      <xdr:row>78</xdr:row>
      <xdr:rowOff>95250</xdr:rowOff>
    </xdr:to>
    <xdr:sp macro="" textlink="">
      <xdr:nvSpPr>
        <xdr:cNvPr id="3080" name="Text Box 8"/>
        <xdr:cNvSpPr txBox="1">
          <a:spLocks noChangeArrowheads="1"/>
        </xdr:cNvSpPr>
      </xdr:nvSpPr>
      <xdr:spPr bwMode="auto">
        <a:xfrm>
          <a:off x="76200" y="5048250"/>
          <a:ext cx="14182725" cy="7677150"/>
        </a:xfrm>
        <a:prstGeom prst="rect">
          <a:avLst/>
        </a:prstGeom>
        <a:gradFill rotWithShape="1">
          <a:gsLst>
            <a:gs pos="0">
              <a:srgbClr val="C9ECFF"/>
            </a:gs>
            <a:gs pos="100000">
              <a:srgbClr val="EEF9FF"/>
            </a:gs>
          </a:gsLst>
          <a:lin ang="5400000" scaled="1"/>
        </a:gradFill>
        <a:ln>
          <a:noFill/>
        </a:ln>
        <a:extLst>
          <a:ext uri="{91240B29-F687-4F45-9708-019B960494DF}">
            <a14:hiddenLine xmlns:a14="http://schemas.microsoft.com/office/drawing/2010/main" w="19050">
              <a:solidFill>
                <a:srgbClr xmlns:mc="http://schemas.openxmlformats.org/markup-compatibility/2006" val="808080" mc:Ignorable="a14" a14:legacySpreadsheetColorIndex="23"/>
              </a:solidFill>
              <a:miter lim="800000"/>
              <a:headEnd/>
              <a:tailEnd/>
            </a14:hiddenLine>
          </a:ext>
        </a:extLst>
      </xdr:spPr>
      <xdr:txBody>
        <a:bodyPr vertOverflow="clip" wrap="square" lIns="36576" tIns="22860" rIns="0" bIns="0" anchor="t" upright="1"/>
        <a:lstStyle/>
        <a:p>
          <a:pPr algn="l" rtl="0">
            <a:defRPr sz="1000"/>
          </a:pPr>
          <a:endParaRPr lang="en-GB" sz="1000" b="1" i="0" u="none" strike="noStrike" baseline="0">
            <a:solidFill>
              <a:srgbClr val="333333"/>
            </a:solidFill>
            <a:latin typeface="Verdana"/>
            <a:ea typeface="Verdana"/>
            <a:cs typeface="Verdana"/>
          </a:endParaRPr>
        </a:p>
        <a:p>
          <a:pPr algn="l" rtl="0">
            <a:defRPr sz="1000"/>
          </a:pPr>
          <a:r>
            <a:rPr lang="en-GB" sz="1000" b="1" i="0" u="none" strike="noStrike" baseline="0">
              <a:solidFill>
                <a:srgbClr val="333333"/>
              </a:solidFill>
              <a:latin typeface="Verdana"/>
              <a:ea typeface="Verdana"/>
              <a:cs typeface="Verdana"/>
            </a:rPr>
            <a:t>TimeLine Requests</a:t>
          </a:r>
        </a:p>
        <a:p>
          <a:pPr algn="l" rtl="0">
            <a:defRPr sz="1000"/>
          </a:pPr>
          <a:r>
            <a:rPr lang="en-GB" sz="1000" b="0" i="0" u="none" strike="noStrike" baseline="0">
              <a:solidFill>
                <a:srgbClr val="333333"/>
              </a:solidFill>
              <a:latin typeface="Verdana"/>
              <a:ea typeface="Verdana"/>
              <a:cs typeface="Verdana"/>
            </a:rPr>
            <a:t>This sheet shows the timeline for the sending &amp; processing of requests and secondary trading.</a:t>
          </a:r>
        </a:p>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1" i="0" u="none" strike="noStrike" baseline="0">
              <a:solidFill>
                <a:srgbClr val="333333"/>
              </a:solidFill>
              <a:latin typeface="Verdana"/>
              <a:ea typeface="Verdana"/>
              <a:cs typeface="Verdana"/>
            </a:rPr>
            <a:t>PFs &amp; Maintenance &amp; LDs</a:t>
          </a:r>
        </a:p>
        <a:p>
          <a:pPr algn="l" rtl="0">
            <a:defRPr sz="1000"/>
          </a:pPr>
          <a:r>
            <a:rPr lang="en-GB" sz="1000" b="0" i="0" u="none" strike="noStrike" baseline="0">
              <a:solidFill>
                <a:srgbClr val="333333"/>
              </a:solidFill>
              <a:latin typeface="Verdana"/>
              <a:ea typeface="Verdana"/>
              <a:cs typeface="Verdana"/>
            </a:rPr>
            <a:t>This sheet explains:</a:t>
          </a:r>
        </a:p>
        <a:p>
          <a:pPr algn="l" rtl="0">
            <a:defRPr sz="1000"/>
          </a:pPr>
          <a:r>
            <a:rPr lang="en-GB" sz="1000" b="0" i="0" u="none" strike="noStrike" baseline="0">
              <a:solidFill>
                <a:srgbClr val="333333"/>
              </a:solidFill>
              <a:latin typeface="Verdana"/>
              <a:ea typeface="Verdana"/>
              <a:cs typeface="Verdana"/>
            </a:rPr>
            <a:t>   - Maintenance Factors</a:t>
          </a:r>
        </a:p>
        <a:p>
          <a:pPr algn="l" rtl="0">
            <a:defRPr sz="1000"/>
          </a:pPr>
          <a:r>
            <a:rPr lang="en-GB" sz="1000" b="0" i="0" u="none" strike="noStrike" baseline="0">
              <a:solidFill>
                <a:srgbClr val="333333"/>
              </a:solidFill>
              <a:latin typeface="Verdana"/>
              <a:ea typeface="Verdana"/>
              <a:cs typeface="Verdana"/>
            </a:rPr>
            <a:t>   - Pressure Factors (PFs)</a:t>
          </a:r>
        </a:p>
        <a:p>
          <a:pPr algn="l" rtl="0">
            <a:defRPr sz="1000"/>
          </a:pPr>
          <a:r>
            <a:rPr lang="en-GB" sz="1000" b="0" i="0" u="none" strike="noStrike" baseline="0">
              <a:solidFill>
                <a:srgbClr val="333333"/>
              </a:solidFill>
              <a:latin typeface="Verdana"/>
              <a:ea typeface="Verdana"/>
              <a:cs typeface="Verdana"/>
            </a:rPr>
            <a:t>   - Firm Capacities</a:t>
          </a:r>
        </a:p>
        <a:p>
          <a:pPr algn="l" rtl="0">
            <a:defRPr sz="1000"/>
          </a:pPr>
          <a:r>
            <a:rPr lang="en-GB" sz="1000" b="0" i="0" u="none" strike="noStrike" baseline="0">
              <a:solidFill>
                <a:srgbClr val="333333"/>
              </a:solidFill>
              <a:latin typeface="Verdana"/>
              <a:ea typeface="Verdana"/>
              <a:cs typeface="Verdana"/>
            </a:rPr>
            <a:t>   - Liquidated Damages calculations</a:t>
          </a:r>
          <a:endParaRPr lang="en-GB" sz="1000" b="1" i="0" u="none" strike="noStrike" baseline="0">
            <a:solidFill>
              <a:srgbClr val="333333"/>
            </a:solidFill>
            <a:latin typeface="Verdana"/>
            <a:ea typeface="Verdana"/>
            <a:cs typeface="Verdana"/>
          </a:endParaRPr>
        </a:p>
        <a:p>
          <a:pPr algn="l" rtl="0">
            <a:defRPr sz="1000"/>
          </a:pPr>
          <a:endParaRPr lang="en-GB" sz="1000" b="1" i="0" u="none" strike="noStrike" baseline="0">
            <a:solidFill>
              <a:srgbClr val="333333"/>
            </a:solidFill>
            <a:latin typeface="Verdana"/>
            <a:ea typeface="Verdana"/>
            <a:cs typeface="Verdana"/>
          </a:endParaRPr>
        </a:p>
        <a:p>
          <a:pPr algn="l" rtl="0">
            <a:defRPr sz="1000"/>
          </a:pPr>
          <a:r>
            <a:rPr lang="en-GB" sz="1000" b="1" i="0" u="none" strike="noStrike" baseline="0">
              <a:solidFill>
                <a:srgbClr val="333333"/>
              </a:solidFill>
              <a:latin typeface="Verdana"/>
              <a:ea typeface="Verdana"/>
              <a:cs typeface="Verdana"/>
            </a:rPr>
            <a:t>UIOLI &amp; Interruptible Space</a:t>
          </a:r>
        </a:p>
        <a:p>
          <a:pPr algn="l" rtl="0">
            <a:defRPr sz="1000"/>
          </a:pPr>
          <a:r>
            <a:rPr lang="en-GB" sz="1000" b="0" i="0" u="none" strike="noStrike" baseline="0">
              <a:solidFill>
                <a:srgbClr val="333333"/>
              </a:solidFill>
              <a:latin typeface="Verdana"/>
              <a:ea typeface="Verdana"/>
              <a:cs typeface="Verdana"/>
            </a:rPr>
            <a:t>This sheet explains in general:</a:t>
          </a:r>
        </a:p>
        <a:p>
          <a:pPr algn="l" rtl="0">
            <a:defRPr sz="1000"/>
          </a:pPr>
          <a:r>
            <a:rPr lang="en-GB" sz="1000" b="0" i="0" u="none" strike="noStrike" baseline="0">
              <a:solidFill>
                <a:srgbClr val="333333"/>
              </a:solidFill>
              <a:latin typeface="Verdana"/>
              <a:ea typeface="Verdana"/>
              <a:cs typeface="Verdana"/>
            </a:rPr>
            <a:t>   - UIOLI</a:t>
          </a:r>
        </a:p>
        <a:p>
          <a:pPr algn="l" rtl="0">
            <a:defRPr sz="1000"/>
          </a:pPr>
          <a:r>
            <a:rPr lang="en-GB" sz="1000" b="0" i="0" u="none" strike="noStrike" baseline="0">
              <a:solidFill>
                <a:srgbClr val="333333"/>
              </a:solidFill>
              <a:latin typeface="Verdana"/>
              <a:ea typeface="Verdana"/>
              <a:cs typeface="Verdana"/>
            </a:rPr>
            <a:t>   - Interruptible Capacity Available</a:t>
          </a:r>
        </a:p>
        <a:p>
          <a:pPr algn="l" rtl="0">
            <a:defRPr sz="1000"/>
          </a:pPr>
          <a:r>
            <a:rPr lang="en-GB" sz="1000" b="0" i="0" u="none" strike="noStrike" baseline="0">
              <a:solidFill>
                <a:srgbClr val="333333"/>
              </a:solidFill>
              <a:latin typeface="Verdana"/>
              <a:ea typeface="Verdana"/>
              <a:cs typeface="Verdana"/>
            </a:rPr>
            <a:t>   - dividing Interruptible Capacities amongst Primary Customers</a:t>
          </a:r>
        </a:p>
        <a:p>
          <a:pPr algn="l" rtl="0">
            <a:defRPr sz="1000"/>
          </a:pPr>
          <a:r>
            <a:rPr lang="en-GB" sz="1000" b="0" i="0" u="none" strike="noStrike" baseline="0">
              <a:solidFill>
                <a:srgbClr val="333333"/>
              </a:solidFill>
              <a:latin typeface="Verdana"/>
              <a:ea typeface="Verdana"/>
              <a:cs typeface="Verdana"/>
            </a:rPr>
            <a:t>   - dividing Interruptible Capacities amongst Secondary Customers</a:t>
          </a:r>
        </a:p>
        <a:p>
          <a:pPr algn="l" rtl="0">
            <a:defRPr sz="1000"/>
          </a:pPr>
          <a:r>
            <a:rPr lang="en-GB" sz="1000" b="0" i="0" u="none" strike="noStrike" baseline="0">
              <a:solidFill>
                <a:srgbClr val="333333"/>
              </a:solidFill>
              <a:latin typeface="Verdana"/>
              <a:ea typeface="Verdana"/>
              <a:cs typeface="Verdana"/>
            </a:rPr>
            <a:t>   - Full Storage Day (FSD)</a:t>
          </a:r>
        </a:p>
        <a:p>
          <a:pPr algn="l" rtl="0">
            <a:defRPr sz="1000"/>
          </a:pPr>
          <a:r>
            <a:rPr lang="en-GB" sz="1000" b="0" i="0" u="none" strike="noStrike" baseline="0">
              <a:solidFill>
                <a:srgbClr val="333333"/>
              </a:solidFill>
              <a:latin typeface="Verdana"/>
              <a:ea typeface="Verdana"/>
              <a:cs typeface="Verdana"/>
            </a:rPr>
            <a:t>   - Full Storage Customer (FSC)</a:t>
          </a:r>
        </a:p>
        <a:p>
          <a:pPr algn="l" rtl="0">
            <a:defRPr sz="1000"/>
          </a:pPr>
          <a:r>
            <a:rPr lang="en-GB" sz="1000" b="0" i="0" u="none" strike="noStrike" baseline="0">
              <a:solidFill>
                <a:srgbClr val="333333"/>
              </a:solidFill>
              <a:latin typeface="Verdana"/>
              <a:ea typeface="Verdana"/>
              <a:cs typeface="Verdana"/>
            </a:rPr>
            <a:t>   - Mandatory Withdrawal</a:t>
          </a:r>
          <a:endParaRPr lang="en-GB" sz="1000" b="1" i="0" u="none" strike="noStrike" baseline="0">
            <a:solidFill>
              <a:srgbClr val="333333"/>
            </a:solidFill>
            <a:latin typeface="Verdana"/>
            <a:ea typeface="Verdana"/>
            <a:cs typeface="Verdana"/>
          </a:endParaRPr>
        </a:p>
        <a:p>
          <a:pPr algn="l" rtl="0">
            <a:defRPr sz="1000"/>
          </a:pPr>
          <a:endParaRPr lang="en-GB" sz="1000" b="1" i="0" u="none" strike="noStrike" baseline="0">
            <a:solidFill>
              <a:srgbClr val="333333"/>
            </a:solidFill>
            <a:latin typeface="Verdana"/>
            <a:ea typeface="Verdana"/>
            <a:cs typeface="Verdana"/>
          </a:endParaRPr>
        </a:p>
        <a:p>
          <a:pPr algn="l" rtl="0">
            <a:defRPr sz="1000"/>
          </a:pPr>
          <a:r>
            <a:rPr lang="en-GB" sz="1000" b="1" i="0" u="none" strike="noStrike" baseline="0">
              <a:solidFill>
                <a:srgbClr val="333333"/>
              </a:solidFill>
              <a:latin typeface="Verdana"/>
              <a:ea typeface="Verdana"/>
              <a:cs typeface="Verdana"/>
            </a:rPr>
            <a:t>Normal Storage Day</a:t>
          </a:r>
        </a:p>
        <a:p>
          <a:pPr algn="l" rtl="0">
            <a:defRPr sz="1000"/>
          </a:pPr>
          <a:r>
            <a:rPr lang="en-GB" sz="1000" b="0" i="0" u="none" strike="noStrike" baseline="0">
              <a:solidFill>
                <a:srgbClr val="333333"/>
              </a:solidFill>
              <a:latin typeface="Verdana"/>
              <a:ea typeface="Verdana"/>
              <a:cs typeface="Verdana"/>
            </a:rPr>
            <a:t>This sheet is an example of the request processing for the hour 08-09 on a Normal Storage Day</a:t>
          </a:r>
          <a:endParaRPr lang="en-GB" sz="1000" b="1" i="0" u="none" strike="noStrike" baseline="0">
            <a:solidFill>
              <a:srgbClr val="333333"/>
            </a:solidFill>
            <a:latin typeface="Verdana"/>
            <a:ea typeface="Verdana"/>
            <a:cs typeface="Verdana"/>
          </a:endParaRPr>
        </a:p>
        <a:p>
          <a:pPr algn="l" rtl="0">
            <a:defRPr sz="1000"/>
          </a:pPr>
          <a:endParaRPr lang="en-GB" sz="1000" b="1" i="0" u="none" strike="noStrike" baseline="0">
            <a:solidFill>
              <a:srgbClr val="333333"/>
            </a:solidFill>
            <a:latin typeface="Verdana"/>
            <a:ea typeface="Verdana"/>
            <a:cs typeface="Verdana"/>
          </a:endParaRPr>
        </a:p>
        <a:p>
          <a:pPr algn="l" rtl="0">
            <a:defRPr sz="1000"/>
          </a:pPr>
          <a:r>
            <a:rPr lang="en-GB" sz="1000" b="1" i="0" u="none" strike="noStrike" baseline="0">
              <a:solidFill>
                <a:srgbClr val="333333"/>
              </a:solidFill>
              <a:latin typeface="Verdana"/>
              <a:ea typeface="Verdana"/>
              <a:cs typeface="Verdana"/>
            </a:rPr>
            <a:t>FSD Withdrawal</a:t>
          </a:r>
        </a:p>
        <a:p>
          <a:pPr algn="l" rtl="0">
            <a:defRPr sz="1000"/>
          </a:pPr>
          <a:r>
            <a:rPr lang="en-GB" sz="1000" b="0" i="0" u="none" strike="noStrike" baseline="0">
              <a:solidFill>
                <a:srgbClr val="333333"/>
              </a:solidFill>
              <a:latin typeface="Verdana"/>
              <a:ea typeface="Verdana"/>
              <a:cs typeface="Verdana"/>
            </a:rPr>
            <a:t>This sheet is an example of the request processing for the hour 08-09 on a Full Storage Day where to total Flow is withdrawal</a:t>
          </a:r>
          <a:endParaRPr lang="en-GB" sz="1000" b="1" i="0" u="none" strike="noStrike" baseline="0">
            <a:solidFill>
              <a:srgbClr val="333333"/>
            </a:solidFill>
            <a:latin typeface="Verdana"/>
            <a:ea typeface="Verdana"/>
            <a:cs typeface="Verdana"/>
          </a:endParaRPr>
        </a:p>
        <a:p>
          <a:pPr algn="l" rtl="0">
            <a:defRPr sz="1000"/>
          </a:pPr>
          <a:endParaRPr lang="en-GB" sz="1000" b="1" i="0" u="none" strike="noStrike" baseline="0">
            <a:solidFill>
              <a:srgbClr val="333333"/>
            </a:solidFill>
            <a:latin typeface="Verdana"/>
            <a:ea typeface="Verdana"/>
            <a:cs typeface="Verdana"/>
          </a:endParaRPr>
        </a:p>
        <a:p>
          <a:pPr algn="l" rtl="0">
            <a:defRPr sz="1000"/>
          </a:pPr>
          <a:r>
            <a:rPr lang="en-GB" sz="1000" b="1" i="0" u="none" strike="noStrike" baseline="0">
              <a:solidFill>
                <a:srgbClr val="333333"/>
              </a:solidFill>
              <a:latin typeface="Verdana"/>
              <a:ea typeface="Verdana"/>
              <a:cs typeface="Verdana"/>
            </a:rPr>
            <a:t>FSD Injection</a:t>
          </a:r>
        </a:p>
        <a:p>
          <a:pPr algn="l" rtl="0">
            <a:defRPr sz="1000"/>
          </a:pPr>
          <a:r>
            <a:rPr lang="en-GB" sz="1000" b="0" i="0" u="none" strike="noStrike" baseline="0">
              <a:solidFill>
                <a:srgbClr val="333333"/>
              </a:solidFill>
              <a:latin typeface="Verdana"/>
              <a:ea typeface="Verdana"/>
              <a:cs typeface="Verdana"/>
            </a:rPr>
            <a:t>This sheet is an example of the request processing for the hour 08-09 on a Full Storage Day where to total Flow is zero but no Mandatory Withdrawal is required.</a:t>
          </a:r>
          <a:endParaRPr lang="en-GB" sz="1000" b="1" i="0" u="none" strike="noStrike" baseline="0">
            <a:solidFill>
              <a:srgbClr val="333333"/>
            </a:solidFill>
            <a:latin typeface="Verdana"/>
            <a:ea typeface="Verdana"/>
            <a:cs typeface="Verdana"/>
          </a:endParaRPr>
        </a:p>
        <a:p>
          <a:pPr algn="l" rtl="0">
            <a:defRPr sz="1000"/>
          </a:pPr>
          <a:endParaRPr lang="en-GB" sz="1000" b="1" i="0" u="none" strike="noStrike" baseline="0">
            <a:solidFill>
              <a:srgbClr val="333333"/>
            </a:solidFill>
            <a:latin typeface="Verdana"/>
            <a:ea typeface="Verdana"/>
            <a:cs typeface="Verdana"/>
          </a:endParaRPr>
        </a:p>
        <a:p>
          <a:pPr algn="l" rtl="0">
            <a:defRPr sz="1000"/>
          </a:pPr>
          <a:r>
            <a:rPr lang="en-GB" sz="1000" b="1" i="0" u="none" strike="noStrike" baseline="0">
              <a:solidFill>
                <a:srgbClr val="333333"/>
              </a:solidFill>
              <a:latin typeface="Verdana"/>
              <a:ea typeface="Verdana"/>
              <a:cs typeface="Verdana"/>
            </a:rPr>
            <a:t>FSD Mandatory Withdrawal</a:t>
          </a:r>
        </a:p>
        <a:p>
          <a:pPr algn="l" rtl="0">
            <a:defRPr sz="1000"/>
          </a:pPr>
          <a:r>
            <a:rPr lang="en-GB" sz="1000" b="0" i="0" u="none" strike="noStrike" baseline="0">
              <a:solidFill>
                <a:srgbClr val="333333"/>
              </a:solidFill>
              <a:latin typeface="Verdana"/>
              <a:ea typeface="Verdana"/>
              <a:cs typeface="Verdana"/>
            </a:rPr>
            <a:t>This sheet is an example of the request processing for the hour 08-09 on a Full Storage Day where Mandatory Withdrawal is required.</a:t>
          </a:r>
          <a:endParaRPr lang="en-GB" sz="1000" b="1" i="0" u="none" strike="noStrike" baseline="0">
            <a:solidFill>
              <a:srgbClr val="333333"/>
            </a:solidFill>
            <a:latin typeface="Verdana"/>
            <a:ea typeface="Verdana"/>
            <a:cs typeface="Verdana"/>
          </a:endParaRPr>
        </a:p>
        <a:p>
          <a:pPr algn="l" rtl="0">
            <a:defRPr sz="1000"/>
          </a:pPr>
          <a:endParaRPr lang="en-GB" sz="1000" b="1" i="0" u="none" strike="noStrike" baseline="0">
            <a:solidFill>
              <a:srgbClr val="333333"/>
            </a:solidFill>
            <a:latin typeface="Verdana"/>
            <a:ea typeface="Verdana"/>
            <a:cs typeface="Verdana"/>
          </a:endParaRPr>
        </a:p>
        <a:p>
          <a:pPr algn="l" rtl="0">
            <a:defRPr sz="1000"/>
          </a:pPr>
          <a:r>
            <a:rPr lang="en-GB" sz="1000" b="1" i="0" u="none" strike="noStrike" baseline="0">
              <a:solidFill>
                <a:srgbClr val="333333"/>
              </a:solidFill>
              <a:latin typeface="Verdana"/>
              <a:ea typeface="Verdana"/>
              <a:cs typeface="Verdana"/>
            </a:rPr>
            <a:t>Secondary Trading</a:t>
          </a:r>
        </a:p>
        <a:p>
          <a:pPr algn="l" rtl="0">
            <a:defRPr sz="1000"/>
          </a:pPr>
          <a:r>
            <a:rPr lang="en-GB" sz="1000" b="0" i="0" u="none" strike="noStrike" baseline="0">
              <a:solidFill>
                <a:srgbClr val="333333"/>
              </a:solidFill>
              <a:latin typeface="Verdana"/>
              <a:ea typeface="Verdana"/>
              <a:cs typeface="Verdana"/>
            </a:rPr>
            <a:t>This sheet explains:</a:t>
          </a:r>
        </a:p>
        <a:p>
          <a:pPr algn="l" rtl="0">
            <a:defRPr sz="1000"/>
          </a:pPr>
          <a:r>
            <a:rPr lang="en-GB" sz="1000" b="0" i="0" u="none" strike="noStrike" baseline="0">
              <a:solidFill>
                <a:srgbClr val="333333"/>
              </a:solidFill>
              <a:latin typeface="Verdana"/>
              <a:ea typeface="Verdana"/>
              <a:cs typeface="Verdana"/>
            </a:rPr>
            <a:t>   - Primary Bundles</a:t>
          </a:r>
        </a:p>
        <a:p>
          <a:pPr algn="l" rtl="0">
            <a:defRPr sz="1000"/>
          </a:pPr>
          <a:r>
            <a:rPr lang="en-GB" sz="1000" b="0" i="0" u="none" strike="noStrike" baseline="0">
              <a:solidFill>
                <a:srgbClr val="333333"/>
              </a:solidFill>
              <a:latin typeface="Verdana"/>
              <a:ea typeface="Verdana"/>
              <a:cs typeface="Verdana"/>
            </a:rPr>
            <a:t>   - Trading Secondary Bundled Capacities</a:t>
          </a:r>
        </a:p>
        <a:p>
          <a:pPr algn="l" rtl="0">
            <a:defRPr sz="1000"/>
          </a:pPr>
          <a:r>
            <a:rPr lang="en-GB" sz="1000" b="0" i="0" u="none" strike="noStrike" baseline="0">
              <a:solidFill>
                <a:srgbClr val="333333"/>
              </a:solidFill>
              <a:latin typeface="Verdana"/>
              <a:ea typeface="Verdana"/>
              <a:cs typeface="Verdana"/>
            </a:rPr>
            <a:t>   - Trading Secondary Unbundled Capacities</a:t>
          </a:r>
        </a:p>
        <a:p>
          <a:pPr algn="l" rtl="0">
            <a:defRPr sz="1000"/>
          </a:pPr>
          <a:r>
            <a:rPr lang="en-GB" sz="1000" b="0" i="0" u="none" strike="noStrike" baseline="0">
              <a:solidFill>
                <a:srgbClr val="333333"/>
              </a:solidFill>
              <a:latin typeface="Verdana"/>
              <a:ea typeface="Verdana"/>
              <a:cs typeface="Verdana"/>
            </a:rPr>
            <a:t>   - Trading Gas-In-Storage</a:t>
          </a:r>
          <a:endParaRPr lang="en-GB" sz="1000" b="1" i="0" u="none" strike="noStrike" baseline="0">
            <a:solidFill>
              <a:srgbClr val="333333"/>
            </a:solidFill>
            <a:latin typeface="Verdana"/>
            <a:ea typeface="Verdana"/>
            <a:cs typeface="Verdana"/>
          </a:endParaRPr>
        </a:p>
        <a:p>
          <a:pPr algn="l" rtl="0">
            <a:defRPr sz="1000"/>
          </a:pPr>
          <a:endParaRPr lang="en-GB" sz="1000" b="1" i="0" u="none" strike="noStrike" baseline="0">
            <a:solidFill>
              <a:srgbClr val="333333"/>
            </a:solidFill>
            <a:latin typeface="Verdana"/>
            <a:ea typeface="Verdana"/>
            <a:cs typeface="Verdana"/>
          </a:endParaRPr>
        </a:p>
        <a:p>
          <a:pPr algn="l" rtl="0">
            <a:defRPr sz="1000"/>
          </a:pPr>
          <a:r>
            <a:rPr lang="en-GB" sz="1000" b="1" i="0" u="none" strike="noStrike" baseline="0">
              <a:solidFill>
                <a:srgbClr val="333333"/>
              </a:solidFill>
              <a:latin typeface="Verdana"/>
              <a:ea typeface="Verdana"/>
              <a:cs typeface="Verdana"/>
            </a:rPr>
            <a:t>Invoicing</a:t>
          </a:r>
        </a:p>
        <a:p>
          <a:pPr algn="l" rtl="0">
            <a:defRPr sz="1000"/>
          </a:pPr>
          <a:r>
            <a:rPr lang="en-GB" sz="1000" b="0" i="0" u="none" strike="noStrike" baseline="0">
              <a:solidFill>
                <a:srgbClr val="333333"/>
              </a:solidFill>
              <a:latin typeface="Verdana"/>
              <a:ea typeface="Verdana"/>
              <a:cs typeface="Verdana"/>
            </a:rPr>
            <a:t>This sheet shows the invoice line items</a:t>
          </a:r>
        </a:p>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1" i="0" u="none" strike="noStrike" baseline="0">
              <a:solidFill>
                <a:srgbClr val="333333"/>
              </a:solidFill>
              <a:latin typeface="Verdana"/>
              <a:ea typeface="Verdana"/>
              <a:cs typeface="Verdana"/>
            </a:rPr>
            <a:t>Default Quantity Settlement</a:t>
          </a:r>
        </a:p>
        <a:p>
          <a:pPr algn="l" rtl="0">
            <a:defRPr sz="1000"/>
          </a:pPr>
          <a:r>
            <a:rPr lang="en-GB" sz="1000" b="0" i="0" u="none" strike="noStrike" baseline="0">
              <a:solidFill>
                <a:srgbClr val="333333"/>
              </a:solidFill>
              <a:latin typeface="Verdana"/>
              <a:ea typeface="Verdana"/>
              <a:cs typeface="Verdana"/>
            </a:rPr>
            <a:t>This sheet explains the settlement of Default Quantities in case the the accepted or delivered quantity at the TTF does not match the Contract Quantity.</a:t>
          </a:r>
          <a:endParaRPr lang="en-GB" sz="1000" b="1" i="0" u="none" strike="noStrike" baseline="0">
            <a:solidFill>
              <a:srgbClr val="333333"/>
            </a:solidFill>
            <a:latin typeface="Verdana"/>
            <a:ea typeface="Verdana"/>
            <a:cs typeface="Verdana"/>
          </a:endParaRPr>
        </a:p>
        <a:p>
          <a:pPr algn="l" rtl="0">
            <a:defRPr sz="1000"/>
          </a:pPr>
          <a:endParaRPr lang="en-GB"/>
        </a:p>
      </xdr:txBody>
    </xdr:sp>
    <xdr:clientData/>
  </xdr:twoCellAnchor>
  <xdr:twoCellAnchor>
    <xdr:from>
      <xdr:col>0</xdr:col>
      <xdr:colOff>76200</xdr:colOff>
      <xdr:row>30</xdr:row>
      <xdr:rowOff>0</xdr:rowOff>
    </xdr:from>
    <xdr:to>
      <xdr:col>6</xdr:col>
      <xdr:colOff>19050</xdr:colOff>
      <xdr:row>31</xdr:row>
      <xdr:rowOff>38100</xdr:rowOff>
    </xdr:to>
    <xdr:sp macro="" textlink="">
      <xdr:nvSpPr>
        <xdr:cNvPr id="3081" name="Text Box 9"/>
        <xdr:cNvSpPr txBox="1">
          <a:spLocks noChangeArrowheads="1"/>
        </xdr:cNvSpPr>
      </xdr:nvSpPr>
      <xdr:spPr bwMode="auto">
        <a:xfrm>
          <a:off x="76200" y="4857750"/>
          <a:ext cx="3600450" cy="200025"/>
        </a:xfrm>
        <a:prstGeom prst="rect">
          <a:avLst/>
        </a:prstGeom>
        <a:gradFill rotWithShape="1">
          <a:gsLst>
            <a:gs pos="0">
              <a:srgbClr xmlns:mc="http://schemas.openxmlformats.org/markup-compatibility/2006" xmlns:a14="http://schemas.microsoft.com/office/drawing/2010/main" val="50C9E8" mc:Ignorable="a14" a14:legacySpreadsheetColorIndex="25"/>
            </a:gs>
            <a:gs pos="100000">
              <a:srgbClr xmlns:mc="http://schemas.openxmlformats.org/markup-compatibility/2006" xmlns:a14="http://schemas.microsoft.com/office/drawing/2010/main" val="808080" mc:Ignorable="a14" a14:legacySpreadsheetColorIndex="23"/>
            </a:gs>
          </a:gsLst>
          <a:lin ang="5400000" scaled="1"/>
        </a:gradFill>
        <a:ln>
          <a:noFill/>
        </a:ln>
        <a:extLst>
          <a:ext uri="{91240B29-F687-4F45-9708-019B960494DF}">
            <a14:hiddenLine xmlns:a14="http://schemas.microsoft.com/office/drawing/2010/main" w="19050">
              <a:solidFill>
                <a:srgbClr xmlns:mc="http://schemas.openxmlformats.org/markup-compatibility/2006" val="808080" mc:Ignorable="a14" a14:legacySpreadsheetColorIndex="23"/>
              </a:solidFill>
              <a:miter lim="800000"/>
              <a:headEnd/>
              <a:tailEnd/>
            </a14:hiddenLine>
          </a:ext>
        </a:extLst>
      </xdr:spPr>
      <xdr:txBody>
        <a:bodyPr vertOverflow="clip" wrap="square" lIns="36576" tIns="22860" rIns="0" bIns="0" anchor="t" upright="1"/>
        <a:lstStyle/>
        <a:p>
          <a:pPr algn="l" rtl="0">
            <a:defRPr sz="1000"/>
          </a:pPr>
          <a:r>
            <a:rPr lang="en-GB" sz="1000" b="1" i="0" u="none" strike="noStrike" baseline="0">
              <a:solidFill>
                <a:srgbClr val="000080"/>
              </a:solidFill>
              <a:latin typeface="Verdana"/>
              <a:ea typeface="Verdana"/>
              <a:cs typeface="Verdana"/>
            </a:rPr>
            <a:t>Short Explanation of the sheets</a:t>
          </a:r>
          <a:endParaRPr lang="en-GB"/>
        </a:p>
      </xdr:txBody>
    </xdr:sp>
    <xdr:clientData/>
  </xdr:twoCellAnchor>
  <xdr:twoCellAnchor>
    <xdr:from>
      <xdr:col>0</xdr:col>
      <xdr:colOff>76200</xdr:colOff>
      <xdr:row>17</xdr:row>
      <xdr:rowOff>133350</xdr:rowOff>
    </xdr:from>
    <xdr:to>
      <xdr:col>3</xdr:col>
      <xdr:colOff>457200</xdr:colOff>
      <xdr:row>19</xdr:row>
      <xdr:rowOff>47625</xdr:rowOff>
    </xdr:to>
    <xdr:sp macro="" textlink="">
      <xdr:nvSpPr>
        <xdr:cNvPr id="3093" name="Text Box 21"/>
        <xdr:cNvSpPr txBox="1">
          <a:spLocks noChangeArrowheads="1"/>
        </xdr:cNvSpPr>
      </xdr:nvSpPr>
      <xdr:spPr bwMode="auto">
        <a:xfrm>
          <a:off x="76200" y="2886075"/>
          <a:ext cx="2209800" cy="238125"/>
        </a:xfrm>
        <a:prstGeom prst="rect">
          <a:avLst/>
        </a:prstGeom>
        <a:gradFill rotWithShape="1">
          <a:gsLst>
            <a:gs pos="0">
              <a:srgbClr xmlns:mc="http://schemas.openxmlformats.org/markup-compatibility/2006" xmlns:a14="http://schemas.microsoft.com/office/drawing/2010/main" val="50C9E8" mc:Ignorable="a14" a14:legacySpreadsheetColorIndex="25"/>
            </a:gs>
            <a:gs pos="100000">
              <a:srgbClr xmlns:mc="http://schemas.openxmlformats.org/markup-compatibility/2006" xmlns:a14="http://schemas.microsoft.com/office/drawing/2010/main" val="808080" mc:Ignorable="a14" a14:legacySpreadsheetColorIndex="23"/>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en-GB" sz="1000" b="1" i="0" u="none" strike="noStrike" baseline="0">
              <a:solidFill>
                <a:srgbClr val="000080"/>
              </a:solidFill>
              <a:latin typeface="Verdana"/>
              <a:ea typeface="Verdana"/>
              <a:cs typeface="Verdana"/>
            </a:rPr>
            <a:t>How to Use?</a:t>
          </a:r>
          <a:endParaRPr lang="en-GB"/>
        </a:p>
      </xdr:txBody>
    </xdr:sp>
    <xdr:clientData/>
  </xdr:twoCellAnchor>
  <xdr:twoCellAnchor>
    <xdr:from>
      <xdr:col>6</xdr:col>
      <xdr:colOff>342900</xdr:colOff>
      <xdr:row>25</xdr:row>
      <xdr:rowOff>19050</xdr:rowOff>
    </xdr:from>
    <xdr:to>
      <xdr:col>10</xdr:col>
      <xdr:colOff>257175</xdr:colOff>
      <xdr:row>28</xdr:row>
      <xdr:rowOff>19050</xdr:rowOff>
    </xdr:to>
    <xdr:sp macro="" textlink="">
      <xdr:nvSpPr>
        <xdr:cNvPr id="3094" name="Text Box 22"/>
        <xdr:cNvSpPr txBox="1">
          <a:spLocks noChangeArrowheads="1"/>
        </xdr:cNvSpPr>
      </xdr:nvSpPr>
      <xdr:spPr bwMode="auto">
        <a:xfrm>
          <a:off x="4000500" y="4067175"/>
          <a:ext cx="2352675" cy="485775"/>
        </a:xfrm>
        <a:prstGeom prst="rect">
          <a:avLst/>
        </a:prstGeom>
        <a:gradFill rotWithShape="1">
          <a:gsLst>
            <a:gs pos="0">
              <a:srgbClr val="C9ECFF"/>
            </a:gs>
            <a:gs pos="100000">
              <a:srgbClr val="EEF9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1" i="0" u="none" strike="noStrike" baseline="0">
              <a:solidFill>
                <a:srgbClr val="00529B"/>
              </a:solidFill>
              <a:latin typeface="Verdana"/>
              <a:ea typeface="Verdana"/>
              <a:cs typeface="Verdana"/>
            </a:rPr>
            <a:t>Refers to SSSA</a:t>
          </a:r>
          <a:endParaRPr lang="en-US" sz="800" b="0" i="0" u="none" strike="noStrike" baseline="0">
            <a:solidFill>
              <a:srgbClr val="333333"/>
            </a:solidFill>
            <a:latin typeface="Verdana"/>
            <a:ea typeface="Verdana"/>
            <a:cs typeface="Verdana"/>
          </a:endParaRPr>
        </a:p>
        <a:p>
          <a:pPr algn="l" rtl="0">
            <a:defRPr sz="1000"/>
          </a:pPr>
          <a:r>
            <a:rPr lang="en-US" sz="800" b="0" i="0" u="none" strike="noStrike" baseline="0">
              <a:solidFill>
                <a:srgbClr val="00529B"/>
              </a:solidFill>
              <a:latin typeface="Verdana"/>
              <a:ea typeface="Verdana"/>
              <a:cs typeface="Verdana"/>
            </a:rPr>
            <a:t>3. Registered Capacity and Firm Capacity</a:t>
          </a:r>
        </a:p>
        <a:p>
          <a:pPr algn="l" rtl="0">
            <a:defRPr sz="1000"/>
          </a:pPr>
          <a:r>
            <a:rPr lang="en-US" sz="800" b="0" i="0" u="none" strike="noStrike" baseline="0">
              <a:solidFill>
                <a:srgbClr val="00529B"/>
              </a:solidFill>
              <a:latin typeface="Verdana"/>
              <a:ea typeface="Verdana"/>
              <a:cs typeface="Verdana"/>
            </a:rPr>
            <a:t>4. Requests and Requested Quantity</a:t>
          </a:r>
          <a:endParaRPr lang="en-US" sz="800" b="0" i="0" u="none" strike="noStrike" baseline="0">
            <a:solidFill>
              <a:srgbClr val="333333"/>
            </a:solidFill>
            <a:latin typeface="Verdana"/>
            <a:ea typeface="Verdana"/>
            <a:cs typeface="Verdana"/>
          </a:endParaRPr>
        </a:p>
        <a:p>
          <a:pPr algn="l" rtl="0">
            <a:defRPr sz="1000"/>
          </a:pPr>
          <a:endParaRPr lang="en-US" sz="800" b="0" i="0" u="none" strike="noStrike" baseline="0">
            <a:solidFill>
              <a:srgbClr val="333333"/>
            </a:solidFill>
            <a:latin typeface="Verdana"/>
            <a:ea typeface="Verdana"/>
            <a:cs typeface="Verdana"/>
          </a:endParaRPr>
        </a:p>
      </xdr:txBody>
    </xdr:sp>
    <xdr:clientData/>
  </xdr:twoCellAnchor>
  <xdr:twoCellAnchor editAs="oneCell">
    <xdr:from>
      <xdr:col>6</xdr:col>
      <xdr:colOff>371475</xdr:colOff>
      <xdr:row>19</xdr:row>
      <xdr:rowOff>142875</xdr:rowOff>
    </xdr:from>
    <xdr:to>
      <xdr:col>8</xdr:col>
      <xdr:colOff>19050</xdr:colOff>
      <xdr:row>24</xdr:row>
      <xdr:rowOff>28575</xdr:rowOff>
    </xdr:to>
    <xdr:pic>
      <xdr:nvPicPr>
        <xdr:cNvPr id="3166"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9075" y="3219450"/>
          <a:ext cx="8667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3</xdr:col>
      <xdr:colOff>381000</xdr:colOff>
      <xdr:row>4</xdr:row>
      <xdr:rowOff>142875</xdr:rowOff>
    </xdr:to>
    <xdr:pic>
      <xdr:nvPicPr>
        <xdr:cNvPr id="3167" name="Picture 13" descr="H:\logo-2012.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2098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409575</xdr:colOff>
      <xdr:row>7</xdr:row>
      <xdr:rowOff>86400</xdr:rowOff>
    </xdr:from>
    <xdr:to>
      <xdr:col>23</xdr:col>
      <xdr:colOff>142875</xdr:colOff>
      <xdr:row>37</xdr:row>
      <xdr:rowOff>19798</xdr:rowOff>
    </xdr:to>
    <xdr:pic>
      <xdr:nvPicPr>
        <xdr:cNvPr id="16" name="Picture 3" descr="image00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72775" y="1219875"/>
          <a:ext cx="3390900" cy="47911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7</xdr:row>
      <xdr:rowOff>0</xdr:rowOff>
    </xdr:from>
    <xdr:to>
      <xdr:col>19</xdr:col>
      <xdr:colOff>28575</xdr:colOff>
      <xdr:row>18</xdr:row>
      <xdr:rowOff>76200</xdr:rowOff>
    </xdr:to>
    <xdr:sp macro="" textlink="">
      <xdr:nvSpPr>
        <xdr:cNvPr id="9237" name="Text Box 21"/>
        <xdr:cNvSpPr txBox="1">
          <a:spLocks noChangeArrowheads="1"/>
        </xdr:cNvSpPr>
      </xdr:nvSpPr>
      <xdr:spPr bwMode="auto">
        <a:xfrm>
          <a:off x="66675" y="1619250"/>
          <a:ext cx="12573000" cy="1857375"/>
        </a:xfrm>
        <a:prstGeom prst="rect">
          <a:avLst/>
        </a:prstGeom>
        <a:gradFill rotWithShape="1">
          <a:gsLst>
            <a:gs pos="0">
              <a:srgbClr val="C9ECFF"/>
            </a:gs>
            <a:gs pos="100000">
              <a:srgbClr val="EEF9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en-GB" sz="1000" b="1" i="0" u="none" strike="noStrike" baseline="0">
              <a:solidFill>
                <a:srgbClr val="333333"/>
              </a:solidFill>
              <a:latin typeface="Verdana"/>
              <a:ea typeface="Verdana"/>
              <a:cs typeface="Verdana"/>
            </a:rPr>
            <a:t>Sending &amp; accepting Requests</a:t>
          </a:r>
          <a:endParaRPr lang="en-GB" sz="1000" b="0" i="0" u="none" strike="noStrike" baseline="0">
            <a:solidFill>
              <a:srgbClr val="333333"/>
            </a:solidFill>
            <a:latin typeface="Verdana"/>
            <a:ea typeface="Verdana"/>
            <a:cs typeface="Verdana"/>
          </a:endParaRPr>
        </a:p>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 the Customer can send a request 90 days before the Gas Flow Day (D)</a:t>
          </a:r>
        </a:p>
        <a:p>
          <a:pPr algn="l" rtl="0">
            <a:defRPr sz="1000"/>
          </a:pPr>
          <a:r>
            <a:rPr lang="en-GB" sz="1000" b="0" i="0" u="none" strike="noStrike" baseline="0">
              <a:solidFill>
                <a:srgbClr val="333333"/>
              </a:solidFill>
              <a:latin typeface="Verdana"/>
              <a:ea typeface="Verdana"/>
              <a:cs typeface="Verdana"/>
            </a:rPr>
            <a:t>- a request should contain 24 (23 on switch winter to summer or 25 on switch summer to winter) values (referred to as Hourly Requests in the next sheets)</a:t>
          </a:r>
        </a:p>
        <a:p>
          <a:pPr algn="l" rtl="0">
            <a:defRPr sz="1000"/>
          </a:pPr>
          <a:r>
            <a:rPr lang="en-GB" sz="1000" b="0" i="0" u="none" strike="noStrike" baseline="0">
              <a:solidFill>
                <a:srgbClr val="333333"/>
              </a:solidFill>
              <a:latin typeface="Verdana"/>
              <a:ea typeface="Verdana"/>
              <a:cs typeface="Verdana"/>
            </a:rPr>
            <a:t>- the total request will be rejected if any of the values exceed the corresponding aggregated registered capacity for all customers </a:t>
          </a:r>
        </a:p>
        <a:p>
          <a:pPr algn="l" rtl="0">
            <a:defRPr sz="1000"/>
          </a:pPr>
          <a:r>
            <a:rPr lang="en-GB" sz="1000" b="0" i="0" u="none" strike="noStrike" baseline="0">
              <a:solidFill>
                <a:srgbClr val="333333"/>
              </a:solidFill>
              <a:latin typeface="Verdana"/>
              <a:ea typeface="Verdana"/>
              <a:cs typeface="Verdana"/>
            </a:rPr>
            <a:t>- if the customer has not submitted a request the customer will be deemed to have submitted a zero request</a:t>
          </a:r>
        </a:p>
        <a:p>
          <a:pPr algn="l" rtl="0">
            <a:defRPr sz="1000"/>
          </a:pPr>
          <a:r>
            <a:rPr lang="en-GB" sz="1000" b="0" i="0" u="none" strike="noStrike" baseline="0">
              <a:solidFill>
                <a:srgbClr val="333333"/>
              </a:solidFill>
              <a:latin typeface="Verdana"/>
              <a:ea typeface="Verdana"/>
              <a:cs typeface="Verdana"/>
            </a:rPr>
            <a:t>- any values for hours received after the nomination deadline (150 minutes before the hour) will be ignored</a:t>
          </a:r>
        </a:p>
        <a:p>
          <a:pPr algn="l" rtl="0">
            <a:defRPr sz="1000"/>
          </a:pPr>
          <a:r>
            <a:rPr lang="en-GB" sz="1000" b="0" i="0" u="none" strike="noStrike" baseline="0">
              <a:solidFill>
                <a:srgbClr val="333333"/>
              </a:solidFill>
              <a:latin typeface="Verdana"/>
              <a:ea typeface="Verdana"/>
              <a:cs typeface="Verdana"/>
            </a:rPr>
            <a:t>- in every hourly request processing the last valid request submitted by the customer will be used</a:t>
          </a:r>
        </a:p>
        <a:p>
          <a:pPr algn="l" rtl="0">
            <a:defRPr sz="1000"/>
          </a:pPr>
          <a:r>
            <a:rPr lang="en-GB" sz="1000" b="0" i="0" u="none" strike="noStrike" baseline="0">
              <a:solidFill>
                <a:srgbClr val="333333"/>
              </a:solidFill>
              <a:latin typeface="Verdana"/>
              <a:ea typeface="Verdana"/>
              <a:cs typeface="Verdana"/>
            </a:rPr>
            <a:t>- due to sending of new requests contracted quantities related to interruptible requests can change on a hourly basis</a:t>
          </a:r>
        </a:p>
        <a:p>
          <a:pPr algn="l" rtl="0">
            <a:defRPr sz="1000"/>
          </a:pPr>
          <a:r>
            <a:rPr lang="en-GB" sz="1000" b="0" i="0" u="none" strike="noStrike" baseline="0">
              <a:solidFill>
                <a:srgbClr val="333333"/>
              </a:solidFill>
              <a:latin typeface="Verdana"/>
              <a:ea typeface="Verdana"/>
              <a:cs typeface="Verdana"/>
            </a:rPr>
            <a:t>- due to changes in maintenance/outages the contracted quantities for both firm and interruptible requests can change on a hourly basis</a:t>
          </a:r>
        </a:p>
        <a:p>
          <a:pPr algn="l" rtl="0">
            <a:defRPr sz="1000"/>
          </a:pPr>
          <a:r>
            <a:rPr lang="en-GB" sz="1000" b="0" i="0" u="none" strike="noStrike" baseline="0">
              <a:solidFill>
                <a:srgbClr val="333333"/>
              </a:solidFill>
              <a:latin typeface="Verdana"/>
              <a:ea typeface="Verdana"/>
              <a:cs typeface="Verdana"/>
            </a:rPr>
            <a:t>- hourly requests are processed independently except for the use of the Gas In Storage which depends on all previously contracted quantities</a:t>
          </a:r>
        </a:p>
        <a:p>
          <a:pPr algn="l" rtl="0">
            <a:defRPr sz="1000"/>
          </a:pPr>
          <a:endParaRPr lang="en-GB" sz="1000" b="0" i="0" u="none" strike="noStrike" baseline="0">
            <a:solidFill>
              <a:srgbClr val="333333"/>
            </a:solidFill>
            <a:latin typeface="Verdana"/>
            <a:ea typeface="Verdana"/>
            <a:cs typeface="Verdana"/>
          </a:endParaRPr>
        </a:p>
        <a:p>
          <a:pPr algn="l" rtl="0">
            <a:defRPr sz="1000"/>
          </a:pPr>
          <a:endParaRPr lang="en-GB"/>
        </a:p>
      </xdr:txBody>
    </xdr:sp>
    <xdr:clientData/>
  </xdr:twoCellAnchor>
  <xdr:twoCellAnchor>
    <xdr:from>
      <xdr:col>14</xdr:col>
      <xdr:colOff>314325</xdr:colOff>
      <xdr:row>0</xdr:row>
      <xdr:rowOff>76200</xdr:rowOff>
    </xdr:from>
    <xdr:to>
      <xdr:col>19</xdr:col>
      <xdr:colOff>19050</xdr:colOff>
      <xdr:row>6</xdr:row>
      <xdr:rowOff>552450</xdr:rowOff>
    </xdr:to>
    <xdr:sp macro="" textlink="">
      <xdr:nvSpPr>
        <xdr:cNvPr id="9238" name="Text Box 22"/>
        <xdr:cNvSpPr txBox="1">
          <a:spLocks noChangeArrowheads="1"/>
        </xdr:cNvSpPr>
      </xdr:nvSpPr>
      <xdr:spPr bwMode="auto">
        <a:xfrm>
          <a:off x="10277475" y="76200"/>
          <a:ext cx="2352675" cy="1495425"/>
        </a:xfrm>
        <a:prstGeom prst="rect">
          <a:avLst/>
        </a:prstGeom>
        <a:gradFill rotWithShape="1">
          <a:gsLst>
            <a:gs pos="0">
              <a:srgbClr val="C9ECFF"/>
            </a:gs>
            <a:gs pos="100000">
              <a:srgbClr val="EEF9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1" i="0" u="none" strike="noStrike" baseline="0">
              <a:solidFill>
                <a:srgbClr val="00529B"/>
              </a:solidFill>
              <a:latin typeface="Verdana"/>
              <a:ea typeface="Verdana"/>
              <a:cs typeface="Verdana"/>
            </a:rPr>
            <a:t>Refers to SSSA</a:t>
          </a:r>
          <a:endParaRPr lang="en-US" sz="800" b="0" i="0" u="none" strike="noStrike" baseline="0">
            <a:solidFill>
              <a:srgbClr val="333333"/>
            </a:solidFill>
            <a:latin typeface="Verdana"/>
            <a:ea typeface="Verdana"/>
            <a:cs typeface="Verdana"/>
          </a:endParaRPr>
        </a:p>
        <a:p>
          <a:pPr algn="l" rtl="0">
            <a:defRPr sz="1000"/>
          </a:pPr>
          <a:r>
            <a:rPr lang="en-US" sz="800" b="0" i="0" u="none" strike="noStrike" baseline="0">
              <a:solidFill>
                <a:srgbClr val="00529B"/>
              </a:solidFill>
              <a:latin typeface="Verdana"/>
              <a:ea typeface="Verdana"/>
              <a:cs typeface="Verdana"/>
            </a:rPr>
            <a:t>3. Registered Capacity and Firm Capacity</a:t>
          </a:r>
        </a:p>
        <a:p>
          <a:pPr algn="l" rtl="0">
            <a:defRPr sz="1000"/>
          </a:pPr>
          <a:r>
            <a:rPr lang="en-US" sz="800" b="0" i="0" u="none" strike="noStrike" baseline="0">
              <a:solidFill>
                <a:srgbClr val="00529B"/>
              </a:solidFill>
              <a:latin typeface="Verdana"/>
              <a:ea typeface="Verdana"/>
              <a:cs typeface="Verdana"/>
            </a:rPr>
            <a:t>4. Requests and Requested Quantity</a:t>
          </a:r>
        </a:p>
        <a:p>
          <a:pPr algn="l" rtl="0">
            <a:defRPr sz="1000"/>
          </a:pPr>
          <a:r>
            <a:rPr lang="en-US" sz="800" b="0" i="0" u="none" strike="noStrike" baseline="0">
              <a:solidFill>
                <a:srgbClr val="00529B"/>
              </a:solidFill>
              <a:latin typeface="Verdana"/>
              <a:ea typeface="Verdana"/>
              <a:cs typeface="Verdana"/>
            </a:rPr>
            <a:t>7. Gas-in-Storage</a:t>
          </a:r>
        </a:p>
        <a:p>
          <a:pPr algn="l" rtl="0">
            <a:defRPr sz="1000"/>
          </a:pPr>
          <a:r>
            <a:rPr lang="en-US" sz="800" b="0" i="0" u="none" strike="noStrike" baseline="0">
              <a:solidFill>
                <a:srgbClr val="00529B"/>
              </a:solidFill>
              <a:latin typeface="Verdana"/>
              <a:ea typeface="Verdana"/>
              <a:cs typeface="Verdana"/>
            </a:rPr>
            <a:t>8. Trades and Transfers</a:t>
          </a:r>
        </a:p>
        <a:p>
          <a:pPr algn="l" rtl="0">
            <a:defRPr sz="1000"/>
          </a:pPr>
          <a:r>
            <a:rPr lang="en-US" sz="800" b="0" i="0" u="none" strike="noStrike" baseline="0">
              <a:solidFill>
                <a:srgbClr val="00529B"/>
              </a:solidFill>
              <a:latin typeface="Verdana"/>
              <a:ea typeface="Verdana"/>
              <a:cs typeface="Verdana"/>
            </a:rPr>
            <a:t>12. Fees</a:t>
          </a:r>
        </a:p>
        <a:p>
          <a:pPr algn="l" rtl="0">
            <a:defRPr sz="1000"/>
          </a:pPr>
          <a:r>
            <a:rPr lang="en-US" sz="800" b="0" i="0" u="none" strike="noStrike" baseline="0">
              <a:solidFill>
                <a:srgbClr val="00529B"/>
              </a:solidFill>
              <a:latin typeface="Verdana"/>
              <a:ea typeface="Verdana"/>
              <a:cs typeface="Verdana"/>
            </a:rPr>
            <a:t>Schedule C Request Procedure</a:t>
          </a:r>
        </a:p>
        <a:p>
          <a:pPr algn="l" rtl="0">
            <a:defRPr sz="1000"/>
          </a:pPr>
          <a:r>
            <a:rPr lang="en-US" sz="800" b="0" i="0" u="none" strike="noStrike" baseline="0">
              <a:solidFill>
                <a:srgbClr val="00529B"/>
              </a:solidFill>
              <a:latin typeface="Verdana"/>
              <a:ea typeface="Verdana"/>
              <a:cs typeface="Verdana"/>
            </a:rPr>
            <a:t>Schedule E Interruptible Capacity</a:t>
          </a:r>
        </a:p>
        <a:p>
          <a:pPr algn="l" rtl="0">
            <a:defRPr sz="1000"/>
          </a:pPr>
          <a:endParaRPr lang="en-US" sz="800" b="0" i="0" u="none" strike="noStrike" baseline="0">
            <a:solidFill>
              <a:srgbClr val="00529B"/>
            </a:solidFill>
            <a:latin typeface="Verdana"/>
            <a:ea typeface="Verdana"/>
            <a:cs typeface="Verdana"/>
          </a:endParaRPr>
        </a:p>
        <a:p>
          <a:pPr algn="l" rtl="0">
            <a:defRPr sz="1000"/>
          </a:pPr>
          <a:r>
            <a:rPr lang="en-US" sz="800" b="0" i="0" u="none" strike="noStrike" baseline="0">
              <a:solidFill>
                <a:srgbClr val="00529B"/>
              </a:solidFill>
              <a:latin typeface="Verdana"/>
              <a:ea typeface="Verdana"/>
              <a:cs typeface="Verdana"/>
            </a:rPr>
            <a:t>Operating Manual (to be published)</a:t>
          </a:r>
          <a:endParaRPr lang="en-US" sz="800" b="0" i="0" u="none" strike="noStrike" baseline="0">
            <a:solidFill>
              <a:srgbClr val="333333"/>
            </a:solidFill>
            <a:latin typeface="Verdana"/>
            <a:ea typeface="Verdana"/>
            <a:cs typeface="Verdana"/>
          </a:endParaRPr>
        </a:p>
        <a:p>
          <a:pPr algn="l" rtl="0">
            <a:defRPr sz="1000"/>
          </a:pPr>
          <a:endParaRPr lang="en-US" sz="800" b="0" i="0" u="none" strike="noStrike" baseline="0">
            <a:solidFill>
              <a:srgbClr val="333333"/>
            </a:solidFill>
            <a:latin typeface="Verdana"/>
            <a:ea typeface="Verdana"/>
            <a:cs typeface="Verdana"/>
          </a:endParaRPr>
        </a:p>
      </xdr:txBody>
    </xdr:sp>
    <xdr:clientData/>
  </xdr:twoCellAnchor>
  <xdr:twoCellAnchor editAs="oneCell">
    <xdr:from>
      <xdr:col>0</xdr:col>
      <xdr:colOff>0</xdr:colOff>
      <xdr:row>0</xdr:row>
      <xdr:rowOff>0</xdr:rowOff>
    </xdr:from>
    <xdr:to>
      <xdr:col>1</xdr:col>
      <xdr:colOff>2009775</xdr:colOff>
      <xdr:row>4</xdr:row>
      <xdr:rowOff>142875</xdr:rowOff>
    </xdr:to>
    <xdr:pic>
      <xdr:nvPicPr>
        <xdr:cNvPr id="9254" name="Picture 13" descr="H:\logo-201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098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26</xdr:row>
      <xdr:rowOff>57150</xdr:rowOff>
    </xdr:from>
    <xdr:to>
      <xdr:col>0</xdr:col>
      <xdr:colOff>6362700</xdr:colOff>
      <xdr:row>32</xdr:row>
      <xdr:rowOff>66675</xdr:rowOff>
    </xdr:to>
    <xdr:sp macro="" textlink="">
      <xdr:nvSpPr>
        <xdr:cNvPr id="1026" name="Text Box 2"/>
        <xdr:cNvSpPr txBox="1">
          <a:spLocks noChangeArrowheads="1"/>
        </xdr:cNvSpPr>
      </xdr:nvSpPr>
      <xdr:spPr bwMode="auto">
        <a:xfrm>
          <a:off x="57150" y="4371975"/>
          <a:ext cx="6305550" cy="1009650"/>
        </a:xfrm>
        <a:prstGeom prst="rect">
          <a:avLst/>
        </a:prstGeom>
        <a:gradFill rotWithShape="1">
          <a:gsLst>
            <a:gs pos="0">
              <a:srgbClr val="C9ECFF"/>
            </a:gs>
            <a:gs pos="100000">
              <a:srgbClr val="FFFF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en-GB" sz="1000" b="0" i="0" u="none" strike="noStrike" baseline="0">
              <a:solidFill>
                <a:srgbClr val="333333"/>
              </a:solidFill>
              <a:latin typeface="Verdana"/>
              <a:ea typeface="Verdana"/>
              <a:cs typeface="Verdana"/>
            </a:rPr>
            <a:t>The Pressure Factor applicable to all hours of day D will be fixed at 18:30 on D-1. This to ensure that any secondary trading for D will be taken into account. Gas-In-Storage and Registered Capacities applicable to day D will be used for the calculation of the Pressure Factors. The Gas-In-Storage value for D 06-07 calculated at 18:30 can differ from the actual value at D 06-07 due to new requests.</a:t>
          </a:r>
          <a:endParaRPr lang="en-GB"/>
        </a:p>
      </xdr:txBody>
    </xdr:sp>
    <xdr:clientData/>
  </xdr:twoCellAnchor>
  <xdr:twoCellAnchor>
    <xdr:from>
      <xdr:col>0</xdr:col>
      <xdr:colOff>57150</xdr:colOff>
      <xdr:row>12</xdr:row>
      <xdr:rowOff>76200</xdr:rowOff>
    </xdr:from>
    <xdr:to>
      <xdr:col>0</xdr:col>
      <xdr:colOff>6362700</xdr:colOff>
      <xdr:row>16</xdr:row>
      <xdr:rowOff>142875</xdr:rowOff>
    </xdr:to>
    <xdr:sp macro="" textlink="">
      <xdr:nvSpPr>
        <xdr:cNvPr id="1027" name="Text Box 3"/>
        <xdr:cNvSpPr txBox="1">
          <a:spLocks noChangeArrowheads="1"/>
        </xdr:cNvSpPr>
      </xdr:nvSpPr>
      <xdr:spPr bwMode="auto">
        <a:xfrm>
          <a:off x="57150" y="2095500"/>
          <a:ext cx="6305550" cy="714375"/>
        </a:xfrm>
        <a:prstGeom prst="rect">
          <a:avLst/>
        </a:prstGeom>
        <a:gradFill rotWithShape="1">
          <a:gsLst>
            <a:gs pos="0">
              <a:srgbClr val="C9ECFF"/>
            </a:gs>
            <a:gs pos="100000">
              <a:srgbClr val="EEF9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en-GB" sz="1000" b="0" i="0" u="none" strike="noStrike" baseline="0">
              <a:solidFill>
                <a:srgbClr val="333333"/>
              </a:solidFill>
              <a:latin typeface="Verdana"/>
              <a:ea typeface="Verdana"/>
              <a:cs typeface="Verdana"/>
            </a:rPr>
            <a:t>All Requests will be split into a Firm and Interruptible part (both can be zero). If a Request exceeds the Firm Capacity the remaining part will be deemed an Interruptible Request. Firm Capacity is derived from Registered Capacity by multiplying it with a Pressure Factor and a Total Maintenance Factor. The Registered Capacity is the sum of Primary and Secondary Capacity.</a:t>
          </a:r>
          <a:endParaRPr lang="en-GB"/>
        </a:p>
      </xdr:txBody>
    </xdr:sp>
    <xdr:clientData/>
  </xdr:twoCellAnchor>
  <xdr:twoCellAnchor>
    <xdr:from>
      <xdr:col>0</xdr:col>
      <xdr:colOff>57150</xdr:colOff>
      <xdr:row>19</xdr:row>
      <xdr:rowOff>161925</xdr:rowOff>
    </xdr:from>
    <xdr:to>
      <xdr:col>0</xdr:col>
      <xdr:colOff>6362700</xdr:colOff>
      <xdr:row>26</xdr:row>
      <xdr:rowOff>19050</xdr:rowOff>
    </xdr:to>
    <xdr:sp macro="" textlink="">
      <xdr:nvSpPr>
        <xdr:cNvPr id="1029" name="Text Box 5"/>
        <xdr:cNvSpPr txBox="1">
          <a:spLocks noChangeArrowheads="1"/>
        </xdr:cNvSpPr>
      </xdr:nvSpPr>
      <xdr:spPr bwMode="auto">
        <a:xfrm>
          <a:off x="57150" y="3314700"/>
          <a:ext cx="6305550" cy="1019175"/>
        </a:xfrm>
        <a:prstGeom prst="rect">
          <a:avLst/>
        </a:prstGeom>
        <a:gradFill rotWithShape="1">
          <a:gsLst>
            <a:gs pos="0">
              <a:srgbClr val="C9ECFF"/>
            </a:gs>
            <a:gs pos="100000">
              <a:srgbClr val="FFFF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en-GB" sz="1000" b="0" i="0" u="none" strike="noStrike" baseline="0">
              <a:solidFill>
                <a:srgbClr val="333333"/>
              </a:solidFill>
              <a:latin typeface="Verdana"/>
              <a:ea typeface="Verdana"/>
              <a:cs typeface="Verdana"/>
            </a:rPr>
            <a:t>The Injection Pressure Factor will decrease linearly from 1 when the amount of Gas-In-Storage is zero to 75.5% when the amount of Gas-In-Storage is equal to the amount of Registered Space. The Withdrawal Pressure Factor increases linearly from 52.3% when the amount of Gas-In-Storage is zero to 100% when the amount of Gas In Storage is equal to the amount of Registered Space. When using interruptible Space the Withdrawal Pressure Factor will be 100% and the Injection Pressure Factor will decrease further (with zero being the minimum).</a:t>
          </a:r>
          <a:endParaRPr lang="en-GB"/>
        </a:p>
      </xdr:txBody>
    </xdr:sp>
    <xdr:clientData/>
  </xdr:twoCellAnchor>
  <xdr:twoCellAnchor>
    <xdr:from>
      <xdr:col>0</xdr:col>
      <xdr:colOff>57150</xdr:colOff>
      <xdr:row>31</xdr:row>
      <xdr:rowOff>152400</xdr:rowOff>
    </xdr:from>
    <xdr:to>
      <xdr:col>0</xdr:col>
      <xdr:colOff>6362700</xdr:colOff>
      <xdr:row>37</xdr:row>
      <xdr:rowOff>161925</xdr:rowOff>
    </xdr:to>
    <xdr:sp macro="" textlink="">
      <xdr:nvSpPr>
        <xdr:cNvPr id="1030" name="Text Box 6"/>
        <xdr:cNvSpPr txBox="1">
          <a:spLocks noChangeArrowheads="1"/>
        </xdr:cNvSpPr>
      </xdr:nvSpPr>
      <xdr:spPr bwMode="auto">
        <a:xfrm>
          <a:off x="57150" y="5295900"/>
          <a:ext cx="6305550" cy="1000125"/>
        </a:xfrm>
        <a:prstGeom prst="rect">
          <a:avLst/>
        </a:prstGeom>
        <a:gradFill rotWithShape="1">
          <a:gsLst>
            <a:gs pos="0">
              <a:srgbClr val="C9ECFF"/>
            </a:gs>
            <a:gs pos="100000">
              <a:srgbClr val="FFFF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en-GB" sz="1000" b="0" i="0" u="none" strike="noStrike" baseline="0">
              <a:solidFill>
                <a:srgbClr val="333333"/>
              </a:solidFill>
              <a:latin typeface="Verdana"/>
              <a:ea typeface="Verdana"/>
              <a:cs typeface="Verdana"/>
            </a:rPr>
            <a:t>The Maintenance Factors indicate which percentage of the Capacity is unavailable. An Injection Unplanned Maintenance Factor of 0.2 means that 20% of the aggregate Registered Injection Capacity of all SSSA customers is unavailable. The Maintenance Factors apply to all Customers. For each hour of the day the Planned Maintenance, Unplanned Maintenance, Outage and Force Majeure Factors are added. The total of these factors can not be less than zero and cannot exceed one.</a:t>
          </a:r>
          <a:endParaRPr lang="en-GB"/>
        </a:p>
      </xdr:txBody>
    </xdr:sp>
    <xdr:clientData/>
  </xdr:twoCellAnchor>
  <xdr:twoCellAnchor>
    <xdr:from>
      <xdr:col>0</xdr:col>
      <xdr:colOff>57150</xdr:colOff>
      <xdr:row>38</xdr:row>
      <xdr:rowOff>38100</xdr:rowOff>
    </xdr:from>
    <xdr:to>
      <xdr:col>0</xdr:col>
      <xdr:colOff>6362700</xdr:colOff>
      <xdr:row>45</xdr:row>
      <xdr:rowOff>47625</xdr:rowOff>
    </xdr:to>
    <xdr:sp macro="" textlink="">
      <xdr:nvSpPr>
        <xdr:cNvPr id="1031" name="Text Box 7"/>
        <xdr:cNvSpPr txBox="1">
          <a:spLocks noChangeArrowheads="1"/>
        </xdr:cNvSpPr>
      </xdr:nvSpPr>
      <xdr:spPr bwMode="auto">
        <a:xfrm>
          <a:off x="57150" y="6343650"/>
          <a:ext cx="6305550" cy="1181100"/>
        </a:xfrm>
        <a:prstGeom prst="rect">
          <a:avLst/>
        </a:prstGeom>
        <a:gradFill rotWithShape="1">
          <a:gsLst>
            <a:gs pos="0">
              <a:srgbClr val="C9ECFF"/>
            </a:gs>
            <a:gs pos="100000">
              <a:srgbClr val="FFFF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en-GB" sz="1000" b="0" i="0" u="none" strike="noStrike" baseline="0">
              <a:solidFill>
                <a:srgbClr val="333333"/>
              </a:solidFill>
              <a:latin typeface="Verdana"/>
              <a:ea typeface="Verdana"/>
              <a:cs typeface="Verdana"/>
            </a:rPr>
            <a:t>The Injection Total Maintenance Factor equals one minus the Injection Maintenance Factor minus the Injection Unplanned Maintenance Factor minus the Injection Outage Factor minus the Injection Force Majeure Factor. The Withdrawal Total Maintenance Factor is one minus the Withdrawal Maintenance Factor minus the Withdrawal Unplanned Maintenance Factor minus the Withdrawal Outage Factor minus the Withdrawal Force Majeure Factor. The Firm Capacity is equal to the Registered Capacity multiplied by the Pressure Factor multiplied by the Total Maintenance Factor.</a:t>
          </a:r>
          <a:endParaRPr lang="en-GB"/>
        </a:p>
      </xdr:txBody>
    </xdr:sp>
    <xdr:clientData/>
  </xdr:twoCellAnchor>
  <xdr:twoCellAnchor>
    <xdr:from>
      <xdr:col>0</xdr:col>
      <xdr:colOff>57150</xdr:colOff>
      <xdr:row>45</xdr:row>
      <xdr:rowOff>66675</xdr:rowOff>
    </xdr:from>
    <xdr:to>
      <xdr:col>0</xdr:col>
      <xdr:colOff>6362700</xdr:colOff>
      <xdr:row>54</xdr:row>
      <xdr:rowOff>152400</xdr:rowOff>
    </xdr:to>
    <xdr:sp macro="" textlink="">
      <xdr:nvSpPr>
        <xdr:cNvPr id="1032" name="Text Box 8"/>
        <xdr:cNvSpPr txBox="1">
          <a:spLocks noChangeArrowheads="1"/>
        </xdr:cNvSpPr>
      </xdr:nvSpPr>
      <xdr:spPr bwMode="auto">
        <a:xfrm>
          <a:off x="57150" y="7543800"/>
          <a:ext cx="6305550" cy="1552575"/>
        </a:xfrm>
        <a:prstGeom prst="rect">
          <a:avLst/>
        </a:prstGeom>
        <a:gradFill rotWithShape="1">
          <a:gsLst>
            <a:gs pos="0">
              <a:srgbClr val="C9ECFF"/>
            </a:gs>
            <a:gs pos="100000">
              <a:srgbClr val="FFFF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en-GB" sz="1000" b="0" i="0" u="none" strike="noStrike" baseline="0">
              <a:solidFill>
                <a:srgbClr val="333333"/>
              </a:solidFill>
              <a:latin typeface="Verdana"/>
              <a:ea typeface="Verdana"/>
              <a:cs typeface="Verdana"/>
            </a:rPr>
            <a:t>Liquidated Damages only apply to Outages. For any hour for which an Injection Outage Factor or a Withdrawal Outage Factor greater than zero has been defined BGS shall pay the customer Liquidated Damages. The Injection Outage Liquidated Damage is equal to 50% times the Spread times the Registered Injection Capacity times the Injection Pressure Factor times the Injection Outage Factor applicable to that hour. The Withdrawal Outage Liquidated Damage is equal to 50% times the Spread times the Registered Withdrawal Capacity times the Withdrawal Pressure Factor times the Withdrawal Outage Factor applicable to that hour. The total amount paid by BGS for Outages in a Gas Storage Year shall be capped at 3,000,000 MWh times the Spread (euro/MWh) applicable to that Gas Storage Year.</a:t>
          </a:r>
          <a:endParaRPr lang="en-GB"/>
        </a:p>
      </xdr:txBody>
    </xdr:sp>
    <xdr:clientData/>
  </xdr:twoCellAnchor>
  <xdr:twoCellAnchor>
    <xdr:from>
      <xdr:col>0</xdr:col>
      <xdr:colOff>47625</xdr:colOff>
      <xdr:row>8</xdr:row>
      <xdr:rowOff>9525</xdr:rowOff>
    </xdr:from>
    <xdr:to>
      <xdr:col>0</xdr:col>
      <xdr:colOff>6353175</xdr:colOff>
      <xdr:row>11</xdr:row>
      <xdr:rowOff>95250</xdr:rowOff>
    </xdr:to>
    <xdr:sp macro="" textlink="">
      <xdr:nvSpPr>
        <xdr:cNvPr id="1035" name="Text Box 11"/>
        <xdr:cNvSpPr txBox="1">
          <a:spLocks noChangeArrowheads="1"/>
        </xdr:cNvSpPr>
      </xdr:nvSpPr>
      <xdr:spPr bwMode="auto">
        <a:xfrm>
          <a:off x="47625" y="1381125"/>
          <a:ext cx="6305550" cy="571500"/>
        </a:xfrm>
        <a:prstGeom prst="rect">
          <a:avLst/>
        </a:prstGeom>
        <a:gradFill rotWithShape="1">
          <a:gsLst>
            <a:gs pos="0">
              <a:srgbClr val="C9ECFF"/>
            </a:gs>
            <a:gs pos="100000">
              <a:srgbClr val="FFFFFF"/>
            </a:gs>
          </a:gsLst>
          <a:lin ang="5400000" scaled="1"/>
        </a:gradFill>
        <a:ln>
          <a:noFill/>
        </a:ln>
        <a:extLst>
          <a:ext uri="{91240B29-F687-4F45-9708-019B960494DF}">
            <a14:hiddenLine xmlns:a14="http://schemas.microsoft.com/office/drawing/2010/main" w="19050">
              <a:solidFill>
                <a:srgbClr xmlns:mc="http://schemas.openxmlformats.org/markup-compatibility/2006" val="808080" mc:Ignorable="a14" a14:legacySpreadsheetColorIndex="23"/>
              </a:solidFill>
              <a:miter lim="800000"/>
              <a:headEnd/>
              <a:tailEnd/>
            </a14:hiddenLine>
          </a:ext>
        </a:extLst>
      </xdr:spPr>
      <xdr:txBody>
        <a:bodyPr vertOverflow="clip" wrap="square" lIns="36576" tIns="22860" rIns="0" bIns="0" anchor="t" upright="1"/>
        <a:lstStyle/>
        <a:p>
          <a:pPr algn="l" rtl="0">
            <a:defRPr sz="1000"/>
          </a:pPr>
          <a:r>
            <a:rPr lang="en-GB" sz="1000" b="1" i="0" u="none" strike="noStrike" baseline="0">
              <a:solidFill>
                <a:srgbClr val="333333"/>
              </a:solidFill>
              <a:latin typeface="Verdana"/>
              <a:ea typeface="Verdana"/>
              <a:cs typeface="Verdana"/>
            </a:rPr>
            <a:t>Example Pressure Factors, Maintenance &amp; Liquidated Damages</a:t>
          </a:r>
        </a:p>
        <a:p>
          <a:pPr algn="l" rtl="0">
            <a:defRPr sz="1000"/>
          </a:pPr>
          <a:r>
            <a:rPr lang="en-GB" sz="1000" b="0" i="1" u="none" strike="noStrike" baseline="0">
              <a:solidFill>
                <a:srgbClr val="333333"/>
              </a:solidFill>
              <a:latin typeface="Verdana"/>
              <a:ea typeface="Verdana"/>
              <a:cs typeface="Verdana"/>
            </a:rPr>
            <a:t>this example only takes Primary Injection Capacity into account</a:t>
          </a:r>
        </a:p>
        <a:p>
          <a:pPr algn="l" rtl="0">
            <a:lnSpc>
              <a:spcPts val="1200"/>
            </a:lnSpc>
            <a:defRPr sz="1000"/>
          </a:pPr>
          <a:r>
            <a:rPr lang="en-GB" sz="1000" b="0" i="1" u="none" strike="noStrike" baseline="0">
              <a:solidFill>
                <a:srgbClr val="333333"/>
              </a:solidFill>
              <a:latin typeface="Verdana"/>
              <a:ea typeface="Verdana"/>
              <a:cs typeface="Verdana"/>
            </a:rPr>
            <a:t>the same principle applies for Withdrawal and Secondary Capacities</a:t>
          </a:r>
          <a:endParaRPr lang="en-GB"/>
        </a:p>
      </xdr:txBody>
    </xdr:sp>
    <xdr:clientData/>
  </xdr:twoCellAnchor>
  <xdr:twoCellAnchor>
    <xdr:from>
      <xdr:col>0</xdr:col>
      <xdr:colOff>2962275</xdr:colOff>
      <xdr:row>0</xdr:row>
      <xdr:rowOff>142875</xdr:rowOff>
    </xdr:from>
    <xdr:to>
      <xdr:col>0</xdr:col>
      <xdr:colOff>5314950</xdr:colOff>
      <xdr:row>7</xdr:row>
      <xdr:rowOff>38100</xdr:rowOff>
    </xdr:to>
    <xdr:sp macro="" textlink="">
      <xdr:nvSpPr>
        <xdr:cNvPr id="1039" name="Text Box 15"/>
        <xdr:cNvSpPr txBox="1">
          <a:spLocks noChangeArrowheads="1"/>
        </xdr:cNvSpPr>
      </xdr:nvSpPr>
      <xdr:spPr bwMode="auto">
        <a:xfrm>
          <a:off x="2962275" y="142875"/>
          <a:ext cx="2352675" cy="1095375"/>
        </a:xfrm>
        <a:prstGeom prst="rect">
          <a:avLst/>
        </a:prstGeom>
        <a:gradFill rotWithShape="1">
          <a:gsLst>
            <a:gs pos="0">
              <a:srgbClr val="C9ECFF"/>
            </a:gs>
            <a:gs pos="100000">
              <a:srgbClr val="EEF9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1" i="0" u="none" strike="noStrike" baseline="0">
              <a:solidFill>
                <a:srgbClr val="00529B"/>
              </a:solidFill>
              <a:latin typeface="Verdana"/>
              <a:ea typeface="Verdana"/>
              <a:cs typeface="Verdana"/>
            </a:rPr>
            <a:t>Refers to SSSA</a:t>
          </a:r>
          <a:endParaRPr lang="en-US" sz="800" b="0" i="0" u="none" strike="noStrike" baseline="0">
            <a:solidFill>
              <a:srgbClr val="333333"/>
            </a:solidFill>
            <a:latin typeface="Verdana"/>
            <a:ea typeface="Verdana"/>
            <a:cs typeface="Verdana"/>
          </a:endParaRPr>
        </a:p>
        <a:p>
          <a:pPr algn="l" rtl="0">
            <a:defRPr sz="1000"/>
          </a:pPr>
          <a:r>
            <a:rPr lang="en-US" sz="800" b="0" i="0" u="none" strike="noStrike" baseline="0">
              <a:solidFill>
                <a:srgbClr val="00529B"/>
              </a:solidFill>
              <a:latin typeface="Verdana"/>
              <a:ea typeface="Verdana"/>
              <a:cs typeface="Verdana"/>
            </a:rPr>
            <a:t>3. Registered Capacity and Firm Capacity</a:t>
          </a:r>
        </a:p>
        <a:p>
          <a:pPr algn="l" rtl="0">
            <a:defRPr sz="1000"/>
          </a:pPr>
          <a:r>
            <a:rPr lang="en-US" sz="800" b="0" i="0" u="none" strike="noStrike" baseline="0">
              <a:solidFill>
                <a:srgbClr val="00529B"/>
              </a:solidFill>
              <a:latin typeface="Verdana"/>
              <a:ea typeface="Verdana"/>
              <a:cs typeface="Verdana"/>
            </a:rPr>
            <a:t>7. Gas-in-Storage</a:t>
          </a:r>
        </a:p>
        <a:p>
          <a:pPr algn="l" rtl="0">
            <a:defRPr sz="1000"/>
          </a:pPr>
          <a:r>
            <a:rPr lang="en-US" sz="800" b="0" i="0" u="none" strike="noStrike" baseline="0">
              <a:solidFill>
                <a:srgbClr val="00529B"/>
              </a:solidFill>
              <a:latin typeface="Verdana"/>
              <a:ea typeface="Verdana"/>
              <a:cs typeface="Verdana"/>
            </a:rPr>
            <a:t>9. Maintenance (Planned and Unplanned)</a:t>
          </a:r>
        </a:p>
        <a:p>
          <a:pPr algn="l" rtl="0">
            <a:defRPr sz="1000"/>
          </a:pPr>
          <a:r>
            <a:rPr lang="en-US" sz="800" b="0" i="0" u="none" strike="noStrike" baseline="0">
              <a:solidFill>
                <a:srgbClr val="00529B"/>
              </a:solidFill>
              <a:latin typeface="Verdana"/>
              <a:ea typeface="Verdana"/>
              <a:cs typeface="Verdana"/>
            </a:rPr>
            <a:t>10. Outages and Liquidated Damages</a:t>
          </a:r>
        </a:p>
        <a:p>
          <a:pPr algn="l" rtl="0">
            <a:defRPr sz="1000"/>
          </a:pPr>
          <a:r>
            <a:rPr lang="en-US" sz="800" b="0" i="0" u="none" strike="noStrike" baseline="0">
              <a:solidFill>
                <a:srgbClr val="00529B"/>
              </a:solidFill>
              <a:latin typeface="Verdana"/>
              <a:ea typeface="Verdana"/>
              <a:cs typeface="Verdana"/>
            </a:rPr>
            <a:t>16. Force Majeure</a:t>
          </a:r>
        </a:p>
        <a:p>
          <a:pPr algn="l" rtl="0">
            <a:defRPr sz="1000"/>
          </a:pPr>
          <a:endParaRPr lang="en-US" sz="800" b="0" i="0" u="none" strike="noStrike" baseline="0">
            <a:solidFill>
              <a:srgbClr val="333333"/>
            </a:solidFill>
            <a:latin typeface="Verdana"/>
            <a:ea typeface="Verdana"/>
            <a:cs typeface="Verdana"/>
          </a:endParaRPr>
        </a:p>
        <a:p>
          <a:pPr algn="l" rtl="0">
            <a:defRPr sz="1000"/>
          </a:pPr>
          <a:endParaRPr lang="en-US" sz="800" b="0" i="0" u="none" strike="noStrike" baseline="0">
            <a:solidFill>
              <a:srgbClr val="333333"/>
            </a:solidFill>
            <a:latin typeface="Verdana"/>
            <a:ea typeface="Verdana"/>
            <a:cs typeface="Verdana"/>
          </a:endParaRPr>
        </a:p>
      </xdr:txBody>
    </xdr:sp>
    <xdr:clientData/>
  </xdr:twoCellAnchor>
  <xdr:twoCellAnchor>
    <xdr:from>
      <xdr:col>0</xdr:col>
      <xdr:colOff>57150</xdr:colOff>
      <xdr:row>17</xdr:row>
      <xdr:rowOff>9525</xdr:rowOff>
    </xdr:from>
    <xdr:to>
      <xdr:col>0</xdr:col>
      <xdr:colOff>6362700</xdr:colOff>
      <xdr:row>19</xdr:row>
      <xdr:rowOff>133350</xdr:rowOff>
    </xdr:to>
    <xdr:sp macro="" textlink="">
      <xdr:nvSpPr>
        <xdr:cNvPr id="1040" name="Text Box 16"/>
        <xdr:cNvSpPr txBox="1">
          <a:spLocks noChangeArrowheads="1"/>
        </xdr:cNvSpPr>
      </xdr:nvSpPr>
      <xdr:spPr bwMode="auto">
        <a:xfrm>
          <a:off x="57150" y="2838450"/>
          <a:ext cx="6305550" cy="447675"/>
        </a:xfrm>
        <a:prstGeom prst="rect">
          <a:avLst/>
        </a:prstGeom>
        <a:gradFill rotWithShape="1">
          <a:gsLst>
            <a:gs pos="0">
              <a:srgbClr val="C9ECFF"/>
            </a:gs>
            <a:gs pos="100000">
              <a:srgbClr val="EEF9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en-GB" sz="1000" b="0" i="0" u="none" strike="noStrike" baseline="0">
              <a:solidFill>
                <a:srgbClr val="333333"/>
              </a:solidFill>
              <a:latin typeface="Verdana"/>
              <a:ea typeface="Verdana"/>
              <a:cs typeface="Verdana"/>
            </a:rPr>
            <a:t>Customers have their own mini-storage: for each Customer a Pressure Factor will apply based on the utilisation of the Customer's Space.</a:t>
          </a:r>
          <a:endParaRPr lang="en-GB"/>
        </a:p>
      </xdr:txBody>
    </xdr:sp>
    <xdr:clientData/>
  </xdr:twoCellAnchor>
  <xdr:twoCellAnchor editAs="oneCell">
    <xdr:from>
      <xdr:col>0</xdr:col>
      <xdr:colOff>5372100</xdr:colOff>
      <xdr:row>3</xdr:row>
      <xdr:rowOff>9525</xdr:rowOff>
    </xdr:from>
    <xdr:to>
      <xdr:col>0</xdr:col>
      <xdr:colOff>6238875</xdr:colOff>
      <xdr:row>7</xdr:row>
      <xdr:rowOff>38100</xdr:rowOff>
    </xdr:to>
    <xdr:pic>
      <xdr:nvPicPr>
        <xdr:cNvPr id="1099"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72100" y="542925"/>
          <a:ext cx="8667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2209800</xdr:colOff>
      <xdr:row>4</xdr:row>
      <xdr:rowOff>95250</xdr:rowOff>
    </xdr:to>
    <xdr:pic>
      <xdr:nvPicPr>
        <xdr:cNvPr id="1100" name="Picture 13" descr="H:\logo-2012.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2098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7</xdr:row>
      <xdr:rowOff>152400</xdr:rowOff>
    </xdr:from>
    <xdr:to>
      <xdr:col>24</xdr:col>
      <xdr:colOff>95250</xdr:colOff>
      <xdr:row>18</xdr:row>
      <xdr:rowOff>114300</xdr:rowOff>
    </xdr:to>
    <xdr:sp macro="" textlink="">
      <xdr:nvSpPr>
        <xdr:cNvPr id="5121" name="Text Box 1"/>
        <xdr:cNvSpPr txBox="1">
          <a:spLocks noChangeArrowheads="1"/>
        </xdr:cNvSpPr>
      </xdr:nvSpPr>
      <xdr:spPr bwMode="auto">
        <a:xfrm>
          <a:off x="76200" y="1285875"/>
          <a:ext cx="14649450" cy="1743075"/>
        </a:xfrm>
        <a:prstGeom prst="rect">
          <a:avLst/>
        </a:prstGeom>
        <a:gradFill rotWithShape="1">
          <a:gsLst>
            <a:gs pos="0">
              <a:srgbClr val="C9ECFF"/>
            </a:gs>
            <a:gs pos="100000">
              <a:srgbClr val="EEF9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en-GB" sz="1000" b="1" i="0" u="none" strike="noStrike" baseline="0">
              <a:solidFill>
                <a:srgbClr val="333333"/>
              </a:solidFill>
              <a:latin typeface="Verdana"/>
              <a:ea typeface="Verdana"/>
              <a:cs typeface="Verdana"/>
            </a:rPr>
            <a:t>Full Storage Day, Full Storage Customer and use of Gas-In-Storage (D 06-07) in calculations</a:t>
          </a:r>
        </a:p>
        <a:p>
          <a:pPr algn="l" rtl="0">
            <a:defRPr sz="1000"/>
          </a:pPr>
          <a:endParaRPr lang="en-GB" sz="1000" b="1"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For determining whether a day is a Full Storage Day the predicted value at D-1 12:30 of Gas-In-Storage (D 06-07) is used.</a:t>
          </a:r>
        </a:p>
        <a:p>
          <a:pPr algn="l" rtl="0">
            <a:defRPr sz="1000"/>
          </a:pPr>
          <a:r>
            <a:rPr lang="en-GB" sz="1000" b="0" i="0" u="none" strike="noStrike" baseline="0">
              <a:solidFill>
                <a:srgbClr val="333333"/>
              </a:solidFill>
              <a:latin typeface="Verdana"/>
              <a:ea typeface="Verdana"/>
              <a:cs typeface="Verdana"/>
            </a:rPr>
            <a:t>Gas Flow Day D is a Full Storage Day if the total amount of Gas-In-Storage for hour 06-07 on day D exceeds the total amount of Registered Space on day D.</a:t>
          </a:r>
        </a:p>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The Pressure Factors and Full Storage Customers (in case of a Full Storage Day) use the predicted value at D-1 18:30 of Gas-In-Storage (D 06-07).</a:t>
          </a:r>
        </a:p>
        <a:p>
          <a:pPr algn="l" rtl="0">
            <a:defRPr sz="1000"/>
          </a:pPr>
          <a:r>
            <a:rPr lang="en-GB" sz="1000" b="0" i="0" u="none" strike="noStrike" baseline="0">
              <a:solidFill>
                <a:srgbClr val="333333"/>
              </a:solidFill>
              <a:latin typeface="Verdana"/>
              <a:ea typeface="Verdana"/>
              <a:cs typeface="Verdana"/>
            </a:rPr>
            <a:t>A Customer is a Full Storage Customer for the whole of Gas Flow Day D is its Gas-In-Storage for hour 06-07 on day D exceeds the its amount of Registered Space on day D (Customer uses Interruptible Space).</a:t>
          </a:r>
        </a:p>
        <a:p>
          <a:pPr algn="l" rtl="0">
            <a:defRPr sz="1000"/>
          </a:pPr>
          <a:endParaRPr lang="en-GB" sz="1000" b="0" i="0" u="none" strike="noStrike" baseline="0">
            <a:solidFill>
              <a:srgbClr val="333333"/>
            </a:solidFill>
            <a:latin typeface="Verdana"/>
            <a:ea typeface="Verdana"/>
            <a:cs typeface="Verdana"/>
          </a:endParaRPr>
        </a:p>
        <a:p>
          <a:pPr algn="l" rtl="0">
            <a:defRPr sz="1000"/>
          </a:pPr>
          <a:r>
            <a:rPr lang="en-GB" sz="1000" b="0" i="0" u="none" strike="noStrike" baseline="0">
              <a:solidFill>
                <a:srgbClr val="333333"/>
              </a:solidFill>
              <a:latin typeface="Verdana"/>
              <a:ea typeface="Verdana"/>
              <a:cs typeface="Verdana"/>
            </a:rPr>
            <a:t>The value of Gas-In-Storage (D 06-07) can be different at D-1 12:30, D-1 18:30 and D 06:00 (the actual hour).</a:t>
          </a:r>
        </a:p>
        <a:p>
          <a:pPr algn="l" rtl="0">
            <a:defRPr sz="1000"/>
          </a:pPr>
          <a:r>
            <a:rPr lang="en-GB" sz="1000" b="0" i="1" u="none" strike="noStrike" baseline="0">
              <a:solidFill>
                <a:srgbClr val="333333"/>
              </a:solidFill>
              <a:latin typeface="Verdana"/>
              <a:ea typeface="Verdana"/>
              <a:cs typeface="Verdana"/>
            </a:rPr>
            <a:t>The examples for Normal Storage Day and Full Storage Day use </a:t>
          </a:r>
          <a:r>
            <a:rPr lang="en-GB" sz="1000" b="1" i="1" u="none" strike="noStrike" baseline="0">
              <a:solidFill>
                <a:srgbClr val="333333"/>
              </a:solidFill>
              <a:latin typeface="Verdana"/>
              <a:ea typeface="Verdana"/>
              <a:cs typeface="Verdana"/>
            </a:rPr>
            <a:t>only one</a:t>
          </a:r>
          <a:r>
            <a:rPr lang="en-GB" sz="1000" b="0" i="1" u="none" strike="noStrike" baseline="0">
              <a:solidFill>
                <a:srgbClr val="333333"/>
              </a:solidFill>
              <a:latin typeface="Verdana"/>
              <a:ea typeface="Verdana"/>
              <a:cs typeface="Verdana"/>
            </a:rPr>
            <a:t> predicted value of the Gas-In-Storage (D 06-07) for reasons of simplyfying the examples.</a:t>
          </a:r>
          <a:endParaRPr lang="en-GB" sz="1000" b="0" i="0" u="none" strike="noStrike" baseline="0">
            <a:solidFill>
              <a:srgbClr val="333333"/>
            </a:solidFill>
            <a:latin typeface="Verdana"/>
            <a:ea typeface="Verdana"/>
            <a:cs typeface="Verdana"/>
          </a:endParaRPr>
        </a:p>
        <a:p>
          <a:pPr algn="l" rtl="0">
            <a:defRPr sz="1000"/>
          </a:pPr>
          <a:endParaRPr lang="en-GB" sz="1000" b="0" i="0" u="none" strike="noStrike" baseline="0">
            <a:solidFill>
              <a:srgbClr val="333333"/>
            </a:solidFill>
            <a:latin typeface="Verdana"/>
            <a:ea typeface="Verdana"/>
            <a:cs typeface="Verdana"/>
          </a:endParaRPr>
        </a:p>
        <a:p>
          <a:pPr algn="l" rtl="0">
            <a:defRPr sz="1000"/>
          </a:pPr>
          <a:endParaRPr lang="en-GB"/>
        </a:p>
      </xdr:txBody>
    </xdr:sp>
    <xdr:clientData/>
  </xdr:twoCellAnchor>
  <xdr:twoCellAnchor>
    <xdr:from>
      <xdr:col>6</xdr:col>
      <xdr:colOff>0</xdr:colOff>
      <xdr:row>0</xdr:row>
      <xdr:rowOff>57150</xdr:rowOff>
    </xdr:from>
    <xdr:to>
      <xdr:col>9</xdr:col>
      <xdr:colOff>523875</xdr:colOff>
      <xdr:row>7</xdr:row>
      <xdr:rowOff>19050</xdr:rowOff>
    </xdr:to>
    <xdr:sp macro="" textlink="">
      <xdr:nvSpPr>
        <xdr:cNvPr id="5130" name="Text Box 10"/>
        <xdr:cNvSpPr txBox="1">
          <a:spLocks noChangeArrowheads="1"/>
        </xdr:cNvSpPr>
      </xdr:nvSpPr>
      <xdr:spPr bwMode="auto">
        <a:xfrm>
          <a:off x="3657600" y="57150"/>
          <a:ext cx="2352675" cy="1095375"/>
        </a:xfrm>
        <a:prstGeom prst="rect">
          <a:avLst/>
        </a:prstGeom>
        <a:gradFill rotWithShape="1">
          <a:gsLst>
            <a:gs pos="0">
              <a:srgbClr val="C9ECFF"/>
            </a:gs>
            <a:gs pos="100000">
              <a:srgbClr val="EEF9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1" i="0" u="none" strike="noStrike" baseline="0">
              <a:solidFill>
                <a:srgbClr val="00529B"/>
              </a:solidFill>
              <a:latin typeface="Verdana"/>
              <a:ea typeface="Verdana"/>
              <a:cs typeface="Verdana"/>
            </a:rPr>
            <a:t>Refers to SSSA</a:t>
          </a:r>
          <a:endParaRPr lang="en-US" sz="800" b="0" i="0" u="none" strike="noStrike" baseline="0">
            <a:solidFill>
              <a:srgbClr val="333333"/>
            </a:solidFill>
            <a:latin typeface="Verdana"/>
            <a:ea typeface="Verdana"/>
            <a:cs typeface="Verdana"/>
          </a:endParaRPr>
        </a:p>
        <a:p>
          <a:pPr algn="l" rtl="0">
            <a:defRPr sz="1000"/>
          </a:pPr>
          <a:r>
            <a:rPr lang="en-US" sz="800" b="0" i="0" u="none" strike="noStrike" baseline="0">
              <a:solidFill>
                <a:srgbClr val="00529B"/>
              </a:solidFill>
              <a:latin typeface="Verdana"/>
              <a:ea typeface="Verdana"/>
              <a:cs typeface="Verdana"/>
            </a:rPr>
            <a:t>3. Registered Capacity and Firm Capacity</a:t>
          </a:r>
        </a:p>
        <a:p>
          <a:pPr algn="l" rtl="0">
            <a:defRPr sz="1000"/>
          </a:pPr>
          <a:r>
            <a:rPr lang="en-US" sz="800" b="0" i="0" u="none" strike="noStrike" baseline="0">
              <a:solidFill>
                <a:srgbClr val="00529B"/>
              </a:solidFill>
              <a:latin typeface="Verdana"/>
              <a:ea typeface="Verdana"/>
              <a:cs typeface="Verdana"/>
            </a:rPr>
            <a:t>4. Requests and Requested Quantity</a:t>
          </a:r>
        </a:p>
        <a:p>
          <a:pPr algn="l" rtl="0">
            <a:defRPr sz="1000"/>
          </a:pPr>
          <a:r>
            <a:rPr lang="en-US" sz="800" b="0" i="0" u="none" strike="noStrike" baseline="0">
              <a:solidFill>
                <a:srgbClr val="00529B"/>
              </a:solidFill>
              <a:latin typeface="Verdana"/>
              <a:ea typeface="Verdana"/>
              <a:cs typeface="Verdana"/>
            </a:rPr>
            <a:t>5. Injection and Withdrawal</a:t>
          </a:r>
        </a:p>
        <a:p>
          <a:pPr algn="l" rtl="0">
            <a:defRPr sz="1000"/>
          </a:pPr>
          <a:r>
            <a:rPr lang="en-US" sz="800" b="0" i="0" u="none" strike="noStrike" baseline="0">
              <a:solidFill>
                <a:srgbClr val="00529B"/>
              </a:solidFill>
              <a:latin typeface="Verdana"/>
              <a:ea typeface="Verdana"/>
              <a:cs typeface="Verdana"/>
            </a:rPr>
            <a:t>6. Interruptible Capacity</a:t>
          </a:r>
        </a:p>
        <a:p>
          <a:pPr algn="l" rtl="0">
            <a:defRPr sz="1000"/>
          </a:pPr>
          <a:r>
            <a:rPr lang="en-US" sz="800" b="0" i="0" u="none" strike="noStrike" baseline="0">
              <a:solidFill>
                <a:srgbClr val="00529B"/>
              </a:solidFill>
              <a:latin typeface="Verdana"/>
              <a:ea typeface="Verdana"/>
              <a:cs typeface="Verdana"/>
            </a:rPr>
            <a:t>7. Gas-in-Storage</a:t>
          </a:r>
        </a:p>
        <a:p>
          <a:pPr algn="l" rtl="0">
            <a:defRPr sz="1000"/>
          </a:pPr>
          <a:r>
            <a:rPr lang="en-US" sz="800" b="0" i="0" u="none" strike="noStrike" baseline="0">
              <a:solidFill>
                <a:srgbClr val="00529B"/>
              </a:solidFill>
              <a:latin typeface="Verdana"/>
              <a:ea typeface="Verdana"/>
              <a:cs typeface="Verdana"/>
            </a:rPr>
            <a:t>Schedule C Request Procedure</a:t>
          </a:r>
        </a:p>
        <a:p>
          <a:pPr algn="l" rtl="0">
            <a:defRPr sz="1000"/>
          </a:pPr>
          <a:r>
            <a:rPr lang="en-US" sz="800" b="0" i="0" u="none" strike="noStrike" baseline="0">
              <a:solidFill>
                <a:srgbClr val="00529B"/>
              </a:solidFill>
              <a:latin typeface="Verdana"/>
              <a:ea typeface="Verdana"/>
              <a:cs typeface="Verdana"/>
            </a:rPr>
            <a:t>Schedule E Interruptible Capacity</a:t>
          </a:r>
          <a:endParaRPr lang="en-US" sz="800" b="0" i="0" u="none" strike="noStrike" baseline="0">
            <a:solidFill>
              <a:srgbClr val="333333"/>
            </a:solidFill>
            <a:latin typeface="Verdana"/>
            <a:ea typeface="Verdana"/>
            <a:cs typeface="Verdana"/>
          </a:endParaRPr>
        </a:p>
        <a:p>
          <a:pPr algn="l" rtl="0">
            <a:defRPr sz="1000"/>
          </a:pPr>
          <a:endParaRPr lang="en-US" sz="800" b="0" i="0" u="none" strike="noStrike" baseline="0">
            <a:solidFill>
              <a:srgbClr val="333333"/>
            </a:solidFill>
            <a:latin typeface="Verdana"/>
            <a:ea typeface="Verdana"/>
            <a:cs typeface="Verdana"/>
          </a:endParaRPr>
        </a:p>
      </xdr:txBody>
    </xdr:sp>
    <xdr:clientData/>
  </xdr:twoCellAnchor>
  <xdr:twoCellAnchor>
    <xdr:from>
      <xdr:col>0</xdr:col>
      <xdr:colOff>66675</xdr:colOff>
      <xdr:row>18</xdr:row>
      <xdr:rowOff>152400</xdr:rowOff>
    </xdr:from>
    <xdr:to>
      <xdr:col>24</xdr:col>
      <xdr:colOff>85725</xdr:colOff>
      <xdr:row>37</xdr:row>
      <xdr:rowOff>95250</xdr:rowOff>
    </xdr:to>
    <xdr:sp macro="" textlink="">
      <xdr:nvSpPr>
        <xdr:cNvPr id="5131" name="Text Box 11"/>
        <xdr:cNvSpPr txBox="1">
          <a:spLocks noChangeArrowheads="1"/>
        </xdr:cNvSpPr>
      </xdr:nvSpPr>
      <xdr:spPr bwMode="auto">
        <a:xfrm>
          <a:off x="66675" y="3067050"/>
          <a:ext cx="14649450" cy="3019425"/>
        </a:xfrm>
        <a:prstGeom prst="rect">
          <a:avLst/>
        </a:prstGeom>
        <a:gradFill rotWithShape="1">
          <a:gsLst>
            <a:gs pos="0">
              <a:srgbClr val="C9ECFF"/>
            </a:gs>
            <a:gs pos="100000">
              <a:srgbClr val="EEF9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en-US" sz="1000" b="1" i="0" u="none" strike="noStrike" baseline="0">
              <a:solidFill>
                <a:srgbClr val="333333"/>
              </a:solidFill>
              <a:latin typeface="Verdana"/>
              <a:ea typeface="Verdana"/>
              <a:cs typeface="Verdana"/>
            </a:rPr>
            <a:t>Firm/Interruptible request handling on a Normal Day </a:t>
          </a:r>
          <a:r>
            <a:rPr lang="en-US" sz="1000" b="0" i="0" u="none" strike="noStrike" baseline="0">
              <a:solidFill>
                <a:srgbClr val="333333"/>
              </a:solidFill>
              <a:latin typeface="Verdana"/>
              <a:ea typeface="Verdana"/>
              <a:cs typeface="Verdana"/>
            </a:rPr>
            <a:t>(sheet </a:t>
          </a:r>
          <a:r>
            <a:rPr lang="en-US" sz="1000" b="1" i="0" u="none" strike="noStrike" baseline="0">
              <a:solidFill>
                <a:srgbClr val="00529B"/>
              </a:solidFill>
              <a:latin typeface="Verdana"/>
              <a:ea typeface="Verdana"/>
              <a:cs typeface="Verdana"/>
            </a:rPr>
            <a:t>Normal Storage Day</a:t>
          </a:r>
          <a:r>
            <a:rPr lang="en-US" sz="1000" b="0" i="0" u="none" strike="noStrike" baseline="0">
              <a:solidFill>
                <a:srgbClr val="333333"/>
              </a:solidFill>
              <a:latin typeface="Verdana"/>
              <a:ea typeface="Verdana"/>
              <a:cs typeface="Verdana"/>
            </a:rPr>
            <a:t>)</a:t>
          </a:r>
        </a:p>
        <a:p>
          <a:pPr algn="l" rtl="0">
            <a:defRPr sz="1000"/>
          </a:pPr>
          <a:endParaRPr lang="en-US" sz="1000" b="0" i="0" u="none" strike="noStrike" baseline="0">
            <a:solidFill>
              <a:srgbClr val="333333"/>
            </a:solidFill>
            <a:latin typeface="Verdana"/>
            <a:ea typeface="Verdana"/>
            <a:cs typeface="Verdana"/>
          </a:endParaRPr>
        </a:p>
        <a:p>
          <a:pPr algn="l" rtl="0">
            <a:defRPr sz="1000"/>
          </a:pPr>
          <a:r>
            <a:rPr lang="en-US" sz="1000" b="0" i="0" u="none" strike="noStrike" baseline="0">
              <a:solidFill>
                <a:srgbClr val="333333"/>
              </a:solidFill>
              <a:latin typeface="Verdana"/>
              <a:ea typeface="Verdana"/>
              <a:cs typeface="Verdana"/>
            </a:rPr>
            <a:t>1.  Customers are not allowed to have a negative amount of Gas-In-Storage: the part of the Request which causes a negative amount of Gas In Storage will be ignored when calculating the Contract Quantity.</a:t>
          </a:r>
        </a:p>
        <a:p>
          <a:pPr algn="l" rtl="0">
            <a:defRPr sz="1000"/>
          </a:pPr>
          <a:r>
            <a:rPr lang="en-US" sz="1000" b="0" i="0" u="none" strike="noStrike" baseline="0">
              <a:solidFill>
                <a:srgbClr val="333333"/>
              </a:solidFill>
              <a:latin typeface="Verdana"/>
              <a:ea typeface="Verdana"/>
              <a:cs typeface="Verdana"/>
            </a:rPr>
            <a:t>     Customers are allowed to use Interruptible Space on a Normal Day.</a:t>
          </a:r>
        </a:p>
        <a:p>
          <a:pPr algn="l" rtl="0">
            <a:defRPr sz="1000"/>
          </a:pPr>
          <a:endParaRPr lang="en-US" sz="1000" b="0" i="0" u="none" strike="noStrike" baseline="0">
            <a:solidFill>
              <a:srgbClr val="333333"/>
            </a:solidFill>
            <a:latin typeface="Verdana"/>
            <a:ea typeface="Verdana"/>
            <a:cs typeface="Verdana"/>
          </a:endParaRPr>
        </a:p>
        <a:p>
          <a:pPr algn="l" rtl="0">
            <a:defRPr sz="1000"/>
          </a:pPr>
          <a:r>
            <a:rPr lang="en-US" sz="1000" b="0" i="0" u="none" strike="noStrike" baseline="0">
              <a:solidFill>
                <a:srgbClr val="333333"/>
              </a:solidFill>
              <a:latin typeface="Verdana"/>
              <a:ea typeface="Verdana"/>
              <a:cs typeface="Verdana"/>
            </a:rPr>
            <a:t>2.  Requests will be split in a Firm and Interruptible Part. </a:t>
          </a:r>
        </a:p>
        <a:p>
          <a:pPr algn="l" rtl="0">
            <a:defRPr sz="1000"/>
          </a:pPr>
          <a:endParaRPr lang="en-US" sz="1000" b="0" i="0" u="none" strike="noStrike" baseline="0">
            <a:solidFill>
              <a:srgbClr val="333333"/>
            </a:solidFill>
            <a:latin typeface="Verdana"/>
            <a:ea typeface="Verdana"/>
            <a:cs typeface="Verdana"/>
          </a:endParaRPr>
        </a:p>
        <a:p>
          <a:pPr algn="l" rtl="0">
            <a:defRPr sz="1000"/>
          </a:pPr>
          <a:r>
            <a:rPr lang="en-US" sz="1000" b="0" i="0" u="none" strike="noStrike" baseline="0">
              <a:solidFill>
                <a:srgbClr val="333333"/>
              </a:solidFill>
              <a:latin typeface="Verdana"/>
              <a:ea typeface="Verdana"/>
              <a:cs typeface="Verdana"/>
            </a:rPr>
            <a:t>3.  The Firm Injection/Withdrawal request is limited to the Firm Injection/Withdrawal Capacity.</a:t>
          </a:r>
        </a:p>
        <a:p>
          <a:pPr algn="l" rtl="0">
            <a:defRPr sz="1000"/>
          </a:pPr>
          <a:endParaRPr lang="en-US" sz="1000" b="0" i="0" u="none" strike="noStrike" baseline="0">
            <a:solidFill>
              <a:srgbClr val="333333"/>
            </a:solidFill>
            <a:latin typeface="Verdana"/>
            <a:ea typeface="Verdana"/>
            <a:cs typeface="Verdana"/>
          </a:endParaRPr>
        </a:p>
        <a:p>
          <a:pPr algn="l" rtl="0">
            <a:defRPr sz="1000"/>
          </a:pPr>
          <a:r>
            <a:rPr lang="en-US" sz="1000" b="0" i="0" u="none" strike="noStrike" baseline="0">
              <a:solidFill>
                <a:srgbClr val="333333"/>
              </a:solidFill>
              <a:latin typeface="Verdana"/>
              <a:ea typeface="Verdana"/>
              <a:cs typeface="Verdana"/>
            </a:rPr>
            <a:t>4.  The sum of above Requests defines the Forward Direction.</a:t>
          </a:r>
        </a:p>
        <a:p>
          <a:pPr algn="l" rtl="0">
            <a:defRPr sz="1000"/>
          </a:pPr>
          <a:endParaRPr lang="en-US" sz="1000" b="0" i="0" u="none" strike="noStrike" baseline="0">
            <a:solidFill>
              <a:srgbClr val="333333"/>
            </a:solidFill>
            <a:latin typeface="Verdana"/>
            <a:ea typeface="Verdana"/>
            <a:cs typeface="Verdana"/>
          </a:endParaRPr>
        </a:p>
        <a:p>
          <a:pPr algn="l" rtl="0">
            <a:defRPr sz="1000"/>
          </a:pPr>
          <a:r>
            <a:rPr lang="en-US" sz="1000" b="0" i="0" u="none" strike="noStrike" baseline="0">
              <a:solidFill>
                <a:srgbClr val="333333"/>
              </a:solidFill>
              <a:latin typeface="Verdana"/>
              <a:ea typeface="Verdana"/>
              <a:cs typeface="Verdana"/>
            </a:rPr>
            <a:t>5.  All Interruptible Requests in Reverse Direction are fully awarded.</a:t>
          </a:r>
        </a:p>
        <a:p>
          <a:pPr algn="l" rtl="0">
            <a:defRPr sz="1000"/>
          </a:pPr>
          <a:endParaRPr lang="en-US" sz="1000" b="0" i="0" u="none" strike="noStrike" baseline="0">
            <a:solidFill>
              <a:srgbClr val="333333"/>
            </a:solidFill>
            <a:latin typeface="Verdana"/>
            <a:ea typeface="Verdana"/>
            <a:cs typeface="Verdana"/>
          </a:endParaRPr>
        </a:p>
        <a:p>
          <a:pPr algn="l" rtl="0">
            <a:defRPr sz="1000"/>
          </a:pPr>
          <a:r>
            <a:rPr lang="en-US" sz="1000" b="0" i="0" u="none" strike="noStrike" baseline="0">
              <a:solidFill>
                <a:srgbClr val="333333"/>
              </a:solidFill>
              <a:latin typeface="Verdana"/>
              <a:ea typeface="Verdana"/>
              <a:cs typeface="Verdana"/>
            </a:rPr>
            <a:t>6. The amount of Interruptible Forward Capacity Available equals the sum of Firm Forward Capacity minus the sum of Firm Forward Requests plus the sum of Reverse Requests.</a:t>
          </a:r>
        </a:p>
        <a:p>
          <a:pPr algn="l" rtl="0">
            <a:defRPr sz="1000"/>
          </a:pPr>
          <a:endParaRPr lang="en-US" sz="1000" b="0" i="0" u="none" strike="noStrike" baseline="0">
            <a:solidFill>
              <a:srgbClr val="333333"/>
            </a:solidFill>
            <a:latin typeface="Verdana"/>
            <a:ea typeface="Verdana"/>
            <a:cs typeface="Verdana"/>
          </a:endParaRPr>
        </a:p>
        <a:p>
          <a:pPr algn="l" rtl="0">
            <a:defRPr sz="1000"/>
          </a:pPr>
          <a:r>
            <a:rPr lang="en-US" sz="1000" b="0" i="0" u="none" strike="noStrike" baseline="0">
              <a:solidFill>
                <a:srgbClr val="333333"/>
              </a:solidFill>
              <a:latin typeface="Verdana"/>
              <a:ea typeface="Verdana"/>
              <a:cs typeface="Verdana"/>
            </a:rPr>
            <a:t>7.  Interruptible Requests in Forward Direction are first awarded to Primary Customers (customers holding registered capacity in Forward Direction) pro rata Registered Capacity. </a:t>
          </a:r>
        </a:p>
        <a:p>
          <a:pPr algn="l" rtl="0">
            <a:defRPr sz="1000"/>
          </a:pPr>
          <a:endParaRPr lang="en-US" sz="1000" b="0" i="0" u="none" strike="noStrike" baseline="0">
            <a:solidFill>
              <a:srgbClr val="333333"/>
            </a:solidFill>
            <a:latin typeface="Verdana"/>
            <a:ea typeface="Verdana"/>
            <a:cs typeface="Verdana"/>
          </a:endParaRPr>
        </a:p>
        <a:p>
          <a:pPr algn="l" rtl="0">
            <a:defRPr sz="1000"/>
          </a:pPr>
          <a:r>
            <a:rPr lang="en-US" sz="1000" b="0" i="0" u="none" strike="noStrike" baseline="0">
              <a:solidFill>
                <a:srgbClr val="333333"/>
              </a:solidFill>
              <a:latin typeface="Verdana"/>
              <a:ea typeface="Verdana"/>
              <a:cs typeface="Verdana"/>
            </a:rPr>
            <a:t>8.  Any Interruptible Capacity left in Forward Direction is distributed amongst Secondary Customers pro rata their Request.</a:t>
          </a:r>
        </a:p>
      </xdr:txBody>
    </xdr:sp>
    <xdr:clientData/>
  </xdr:twoCellAnchor>
  <xdr:twoCellAnchor>
    <xdr:from>
      <xdr:col>0</xdr:col>
      <xdr:colOff>66675</xdr:colOff>
      <xdr:row>37</xdr:row>
      <xdr:rowOff>133350</xdr:rowOff>
    </xdr:from>
    <xdr:to>
      <xdr:col>24</xdr:col>
      <xdr:colOff>85725</xdr:colOff>
      <xdr:row>64</xdr:row>
      <xdr:rowOff>66675</xdr:rowOff>
    </xdr:to>
    <xdr:sp macro="" textlink="">
      <xdr:nvSpPr>
        <xdr:cNvPr id="5132" name="Text Box 12"/>
        <xdr:cNvSpPr txBox="1">
          <a:spLocks noChangeArrowheads="1"/>
        </xdr:cNvSpPr>
      </xdr:nvSpPr>
      <xdr:spPr bwMode="auto">
        <a:xfrm>
          <a:off x="66675" y="6124575"/>
          <a:ext cx="14649450" cy="4305300"/>
        </a:xfrm>
        <a:prstGeom prst="rect">
          <a:avLst/>
        </a:prstGeom>
        <a:gradFill rotWithShape="1">
          <a:gsLst>
            <a:gs pos="0">
              <a:srgbClr val="C9ECFF"/>
            </a:gs>
            <a:gs pos="100000">
              <a:srgbClr val="EEF9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en-US" sz="1000" b="1" i="0" u="none" strike="noStrike" baseline="0">
              <a:solidFill>
                <a:srgbClr val="333333"/>
              </a:solidFill>
              <a:latin typeface="Verdana"/>
              <a:ea typeface="Verdana"/>
              <a:cs typeface="Verdana"/>
            </a:rPr>
            <a:t>Firm/Interruptible request handling on a Full Storage Day</a:t>
          </a:r>
        </a:p>
        <a:p>
          <a:pPr algn="l" rtl="0">
            <a:defRPr sz="1000"/>
          </a:pPr>
          <a:endParaRPr lang="en-US" sz="1000" b="1" i="0" u="none" strike="noStrike" baseline="0">
            <a:solidFill>
              <a:srgbClr val="333333"/>
            </a:solidFill>
            <a:latin typeface="Verdana"/>
            <a:ea typeface="Verdana"/>
            <a:cs typeface="Verdana"/>
          </a:endParaRPr>
        </a:p>
        <a:p>
          <a:pPr algn="l" rtl="0">
            <a:defRPr sz="1000"/>
          </a:pPr>
          <a:r>
            <a:rPr lang="en-US" sz="1000" b="0" i="0" u="none" strike="noStrike" baseline="0">
              <a:solidFill>
                <a:srgbClr val="333333"/>
              </a:solidFill>
              <a:latin typeface="Verdana"/>
              <a:ea typeface="Verdana"/>
              <a:cs typeface="Verdana"/>
            </a:rPr>
            <a:t>1.  Customers are not allowed to have negative amount of Gas-In-Storage: the part of the Request which causes a negative amount of Gas In Storage will be ignored when calculating the Contract Quantity.</a:t>
          </a:r>
        </a:p>
        <a:p>
          <a:pPr algn="l" rtl="0">
            <a:defRPr sz="1000"/>
          </a:pPr>
          <a:endParaRPr lang="en-US" sz="1000" b="0" i="0" u="none" strike="noStrike" baseline="0">
            <a:solidFill>
              <a:srgbClr val="333333"/>
            </a:solidFill>
            <a:latin typeface="Verdana"/>
            <a:ea typeface="Verdana"/>
            <a:cs typeface="Verdana"/>
          </a:endParaRPr>
        </a:p>
        <a:p>
          <a:pPr algn="l" rtl="0">
            <a:defRPr sz="1000"/>
          </a:pPr>
          <a:r>
            <a:rPr lang="en-US" sz="1000" b="0" i="0" u="none" strike="noStrike" baseline="0">
              <a:solidFill>
                <a:srgbClr val="333333"/>
              </a:solidFill>
              <a:latin typeface="Verdana"/>
              <a:ea typeface="Verdana"/>
              <a:cs typeface="Verdana"/>
            </a:rPr>
            <a:t>1b. Customers are not allowed use additional Interruptible Space: the part of the Request which uses Interruptible Space will be ignored when calculating the Contracted Quantity</a:t>
          </a:r>
          <a:endParaRPr lang="en-US" sz="1000" b="1" i="0" u="none" strike="noStrike" baseline="0">
            <a:solidFill>
              <a:srgbClr val="333333"/>
            </a:solidFill>
            <a:latin typeface="Verdana"/>
            <a:ea typeface="Verdana"/>
            <a:cs typeface="Verdana"/>
          </a:endParaRPr>
        </a:p>
        <a:p>
          <a:pPr algn="l" rtl="0">
            <a:defRPr sz="1000"/>
          </a:pPr>
          <a:endParaRPr lang="en-US" sz="1000" b="1" i="0" u="none" strike="noStrike" baseline="0">
            <a:solidFill>
              <a:srgbClr val="333333"/>
            </a:solidFill>
            <a:latin typeface="Verdana"/>
            <a:ea typeface="Verdana"/>
            <a:cs typeface="Verdana"/>
          </a:endParaRPr>
        </a:p>
        <a:p>
          <a:pPr algn="l" rtl="0">
            <a:defRPr sz="1000"/>
          </a:pPr>
          <a:r>
            <a:rPr lang="en-US" sz="1000" b="0" i="0" u="none" strike="noStrike" baseline="0">
              <a:solidFill>
                <a:srgbClr val="333333"/>
              </a:solidFill>
              <a:latin typeface="Verdana"/>
              <a:ea typeface="Verdana"/>
              <a:cs typeface="Verdana"/>
            </a:rPr>
            <a:t>2.  Requests will be split in a Firm and Interruptible Part. </a:t>
          </a:r>
        </a:p>
        <a:p>
          <a:pPr algn="l" rtl="0">
            <a:defRPr sz="1000"/>
          </a:pPr>
          <a:endParaRPr lang="en-US" sz="1000" b="0" i="0" u="none" strike="noStrike" baseline="0">
            <a:solidFill>
              <a:srgbClr val="333333"/>
            </a:solidFill>
            <a:latin typeface="Verdana"/>
            <a:ea typeface="Verdana"/>
            <a:cs typeface="Verdana"/>
          </a:endParaRPr>
        </a:p>
        <a:p>
          <a:pPr algn="l" rtl="0">
            <a:defRPr sz="1000"/>
          </a:pPr>
          <a:r>
            <a:rPr lang="en-US" sz="1000" b="0" i="0" u="none" strike="noStrike" baseline="0">
              <a:solidFill>
                <a:srgbClr val="333333"/>
              </a:solidFill>
              <a:latin typeface="Verdana"/>
              <a:ea typeface="Verdana"/>
              <a:cs typeface="Verdana"/>
            </a:rPr>
            <a:t>3.  The Firm Injection/Withdrawal request is limited to the Firm Injection/Withdrawal Capacity.</a:t>
          </a:r>
        </a:p>
        <a:p>
          <a:pPr algn="l" rtl="0">
            <a:defRPr sz="1000"/>
          </a:pPr>
          <a:endParaRPr lang="en-US" sz="1000" b="0" i="0" u="none" strike="noStrike" baseline="0">
            <a:solidFill>
              <a:srgbClr val="333333"/>
            </a:solidFill>
            <a:latin typeface="Verdana"/>
            <a:ea typeface="Verdana"/>
            <a:cs typeface="Verdana"/>
          </a:endParaRPr>
        </a:p>
        <a:p>
          <a:pPr algn="l" rtl="0">
            <a:defRPr sz="1000"/>
          </a:pPr>
          <a:r>
            <a:rPr lang="en-US" sz="1000" b="0" i="0" u="none" strike="noStrike" baseline="0">
              <a:solidFill>
                <a:srgbClr val="333333"/>
              </a:solidFill>
              <a:latin typeface="Verdana"/>
              <a:ea typeface="Verdana"/>
              <a:cs typeface="Verdana"/>
            </a:rPr>
            <a:t>4.  The Forward Direction is the sum of all Firm Injection Requests minus the sum of all Withdrawal Requests (as it can help to avoid overall Injection).</a:t>
          </a:r>
        </a:p>
        <a:p>
          <a:pPr algn="l" rtl="0">
            <a:defRPr sz="1000"/>
          </a:pPr>
          <a:endParaRPr lang="en-US" sz="1000" b="0" i="0" u="none" strike="noStrike" baseline="0">
            <a:solidFill>
              <a:srgbClr val="333333"/>
            </a:solidFill>
            <a:latin typeface="Verdana"/>
            <a:ea typeface="Verdana"/>
            <a:cs typeface="Verdana"/>
          </a:endParaRPr>
        </a:p>
        <a:p>
          <a:pPr algn="l" rtl="0">
            <a:defRPr sz="1000"/>
          </a:pPr>
          <a:r>
            <a:rPr lang="en-US" sz="1000" b="0" i="0" u="none" strike="noStrike" baseline="0">
              <a:solidFill>
                <a:srgbClr val="333333"/>
              </a:solidFill>
              <a:latin typeface="Verdana"/>
              <a:ea typeface="Verdana"/>
              <a:cs typeface="Verdana"/>
            </a:rPr>
            <a:t>4.a. If the Forward Direction is negative (equals Withdrawal):</a:t>
          </a:r>
        </a:p>
        <a:p>
          <a:pPr algn="l" rtl="0">
            <a:defRPr sz="1000"/>
          </a:pPr>
          <a:endParaRPr lang="en-US" sz="1000" b="0" i="0" u="none" strike="noStrike" baseline="0">
            <a:solidFill>
              <a:srgbClr val="333333"/>
            </a:solidFill>
            <a:latin typeface="Verdana"/>
            <a:ea typeface="Verdana"/>
            <a:cs typeface="Verdana"/>
          </a:endParaRPr>
        </a:p>
        <a:p>
          <a:pPr algn="l" rtl="0">
            <a:defRPr sz="1000"/>
          </a:pPr>
          <a:r>
            <a:rPr lang="en-US" sz="1000" b="0" i="0" u="none" strike="noStrike" baseline="0">
              <a:solidFill>
                <a:srgbClr val="333333"/>
              </a:solidFill>
              <a:latin typeface="Verdana"/>
              <a:ea typeface="Verdana"/>
              <a:cs typeface="Verdana"/>
            </a:rPr>
            <a:t>     The Forward Direction is recalculated as the previous Foward Direction plus the sum of Interruptible Injection Requests</a:t>
          </a:r>
        </a:p>
        <a:p>
          <a:pPr algn="l" rtl="0">
            <a:defRPr sz="1000"/>
          </a:pPr>
          <a:endParaRPr lang="en-US" sz="1000" b="0" i="0" u="none" strike="noStrike" baseline="0">
            <a:solidFill>
              <a:srgbClr val="333333"/>
            </a:solidFill>
            <a:latin typeface="Verdana"/>
            <a:ea typeface="Verdana"/>
            <a:cs typeface="Verdana"/>
          </a:endParaRPr>
        </a:p>
        <a:p>
          <a:pPr algn="l" rtl="0">
            <a:defRPr sz="1000"/>
          </a:pPr>
          <a:r>
            <a:rPr lang="en-US" sz="1000" b="0" i="0" u="none" strike="noStrike" baseline="0">
              <a:solidFill>
                <a:srgbClr val="333333"/>
              </a:solidFill>
              <a:latin typeface="Verdana"/>
              <a:ea typeface="Verdana"/>
              <a:cs typeface="Verdana"/>
            </a:rPr>
            <a:t>     4.a.a. If the new Forward Direction is negative (equals Withdrawal):</a:t>
          </a:r>
        </a:p>
        <a:p>
          <a:pPr algn="l" rtl="0">
            <a:defRPr sz="1000"/>
          </a:pPr>
          <a:r>
            <a:rPr lang="en-US" sz="1000" b="0" i="0" u="none" strike="noStrike" baseline="0">
              <a:solidFill>
                <a:srgbClr val="333333"/>
              </a:solidFill>
              <a:latin typeface="Verdana"/>
              <a:ea typeface="Verdana"/>
              <a:cs typeface="Verdana"/>
            </a:rPr>
            <a:t>              the Interruptible Requests are scheduled according to </a:t>
          </a:r>
          <a:r>
            <a:rPr lang="en-US" sz="1000" b="1" i="0" u="none" strike="noStrike" baseline="0">
              <a:solidFill>
                <a:srgbClr val="333333"/>
              </a:solidFill>
              <a:latin typeface="Verdana"/>
              <a:ea typeface="Verdana"/>
              <a:cs typeface="Verdana"/>
            </a:rPr>
            <a:t>Normal Day</a:t>
          </a:r>
          <a:r>
            <a:rPr lang="en-US" sz="1000" b="0" i="0" u="none" strike="noStrike" baseline="0">
              <a:solidFill>
                <a:srgbClr val="333333"/>
              </a:solidFill>
              <a:latin typeface="Verdana"/>
              <a:ea typeface="Verdana"/>
              <a:cs typeface="Verdana"/>
            </a:rPr>
            <a:t> rules (see sheet </a:t>
          </a:r>
          <a:r>
            <a:rPr lang="en-US" sz="1000" b="1" i="0" u="none" strike="noStrike" baseline="0">
              <a:solidFill>
                <a:srgbClr val="00529B"/>
              </a:solidFill>
              <a:latin typeface="Verdana"/>
              <a:ea typeface="Verdana"/>
              <a:cs typeface="Verdana"/>
            </a:rPr>
            <a:t>FSD Withdrawal</a:t>
          </a:r>
          <a:r>
            <a:rPr lang="en-US" sz="1000" b="0" i="0" u="none" strike="noStrike" baseline="0">
              <a:solidFill>
                <a:srgbClr val="333333"/>
              </a:solidFill>
              <a:latin typeface="Verdana"/>
              <a:ea typeface="Verdana"/>
              <a:cs typeface="Verdana"/>
            </a:rPr>
            <a:t>)</a:t>
          </a:r>
        </a:p>
        <a:p>
          <a:pPr algn="l" rtl="0">
            <a:defRPr sz="1000"/>
          </a:pPr>
          <a:endParaRPr lang="en-US" sz="1000" b="0" i="0" u="none" strike="noStrike" baseline="0">
            <a:solidFill>
              <a:srgbClr val="333333"/>
            </a:solidFill>
            <a:latin typeface="Verdana"/>
            <a:ea typeface="Verdana"/>
            <a:cs typeface="Verdana"/>
          </a:endParaRPr>
        </a:p>
        <a:p>
          <a:pPr algn="l" rtl="0">
            <a:defRPr sz="1000"/>
          </a:pPr>
          <a:r>
            <a:rPr lang="en-US" sz="1000" b="0" i="0" u="none" strike="noStrike" baseline="0">
              <a:solidFill>
                <a:srgbClr val="333333"/>
              </a:solidFill>
              <a:latin typeface="Verdana"/>
              <a:ea typeface="Verdana"/>
              <a:cs typeface="Verdana"/>
            </a:rPr>
            <a:t>     4.a.b. If the new Forward Direction is positive (equals Injection): </a:t>
          </a:r>
        </a:p>
        <a:p>
          <a:pPr algn="l" rtl="0">
            <a:defRPr sz="1000"/>
          </a:pPr>
          <a:r>
            <a:rPr lang="en-US" sz="1000" b="0" i="0" u="none" strike="noStrike" baseline="0">
              <a:solidFill>
                <a:srgbClr val="333333"/>
              </a:solidFill>
              <a:latin typeface="Verdana"/>
              <a:ea typeface="Verdana"/>
              <a:cs typeface="Verdana"/>
            </a:rPr>
            <a:t>              the Interruptible Requests are scheduled according to </a:t>
          </a:r>
          <a:r>
            <a:rPr lang="en-US" sz="1000" b="1" i="0" u="none" strike="noStrike" baseline="0">
              <a:solidFill>
                <a:srgbClr val="333333"/>
              </a:solidFill>
              <a:latin typeface="Verdana"/>
              <a:ea typeface="Verdana"/>
              <a:cs typeface="Verdana"/>
            </a:rPr>
            <a:t>Normal Day</a:t>
          </a:r>
          <a:r>
            <a:rPr lang="en-US" sz="1000" b="0" i="0" u="none" strike="noStrike" baseline="0">
              <a:solidFill>
                <a:srgbClr val="333333"/>
              </a:solidFill>
              <a:latin typeface="Verdana"/>
              <a:ea typeface="Verdana"/>
              <a:cs typeface="Verdana"/>
            </a:rPr>
            <a:t> rules up to total flow is zero (see sheet </a:t>
          </a:r>
          <a:r>
            <a:rPr lang="en-US" sz="1000" b="1" i="0" u="none" strike="noStrike" baseline="0">
              <a:solidFill>
                <a:srgbClr val="00529B"/>
              </a:solidFill>
              <a:latin typeface="Verdana"/>
              <a:ea typeface="Verdana"/>
              <a:cs typeface="Verdana"/>
            </a:rPr>
            <a:t>FSD Injection</a:t>
          </a:r>
          <a:r>
            <a:rPr lang="en-US" sz="1000" b="0" i="0" u="none" strike="noStrike" baseline="0">
              <a:solidFill>
                <a:srgbClr val="333333"/>
              </a:solidFill>
              <a:latin typeface="Verdana"/>
              <a:ea typeface="Verdana"/>
              <a:cs typeface="Verdana"/>
            </a:rPr>
            <a:t>) since the purpose of a Full Storage Day is to avoid overall Injection.</a:t>
          </a:r>
        </a:p>
        <a:p>
          <a:pPr algn="l" rtl="0">
            <a:defRPr sz="1000"/>
          </a:pPr>
          <a:endParaRPr lang="en-US" sz="1000" b="0" i="0" u="none" strike="noStrike" baseline="0">
            <a:solidFill>
              <a:srgbClr val="333333"/>
            </a:solidFill>
            <a:latin typeface="Verdana"/>
            <a:ea typeface="Verdana"/>
            <a:cs typeface="Verdana"/>
          </a:endParaRPr>
        </a:p>
        <a:p>
          <a:pPr algn="l" rtl="0">
            <a:defRPr sz="1000"/>
          </a:pPr>
          <a:r>
            <a:rPr lang="en-US" sz="1000" b="0" i="0" u="none" strike="noStrike" baseline="0">
              <a:solidFill>
                <a:srgbClr val="333333"/>
              </a:solidFill>
              <a:latin typeface="Verdana"/>
              <a:ea typeface="Verdana"/>
              <a:cs typeface="Verdana"/>
            </a:rPr>
            <a:t>4b. If the Forward Direction is positive (equals Injection): </a:t>
          </a:r>
        </a:p>
        <a:p>
          <a:pPr algn="l" rtl="0">
            <a:defRPr sz="1000"/>
          </a:pPr>
          <a:r>
            <a:rPr lang="en-US" sz="1000" b="0" i="0" u="none" strike="noStrike" baseline="0">
              <a:solidFill>
                <a:srgbClr val="333333"/>
              </a:solidFill>
              <a:latin typeface="Verdana"/>
              <a:ea typeface="Verdana"/>
              <a:cs typeface="Verdana"/>
            </a:rPr>
            <a:t>         Mandatory Withdrawal is required (see sheet </a:t>
          </a:r>
          <a:r>
            <a:rPr lang="en-US" sz="1000" b="1" i="0" u="none" strike="noStrike" baseline="0">
              <a:solidFill>
                <a:srgbClr val="00529B"/>
              </a:solidFill>
              <a:latin typeface="Verdana"/>
              <a:ea typeface="Verdana"/>
              <a:cs typeface="Verdana"/>
            </a:rPr>
            <a:t>FSD Mandatory Withdrawal</a:t>
          </a:r>
          <a:r>
            <a:rPr lang="en-US" sz="1000" b="0" i="0" u="none" strike="noStrike" baseline="0">
              <a:solidFill>
                <a:srgbClr val="333333"/>
              </a:solidFill>
              <a:latin typeface="Verdana"/>
              <a:ea typeface="Verdana"/>
              <a:cs typeface="Verdana"/>
            </a:rPr>
            <a:t>)</a:t>
          </a:r>
        </a:p>
        <a:p>
          <a:pPr algn="l" rtl="0">
            <a:defRPr sz="1000"/>
          </a:pPr>
          <a:r>
            <a:rPr lang="en-US" sz="1000" b="0" i="0" u="none" strike="noStrike" baseline="0">
              <a:solidFill>
                <a:srgbClr val="333333"/>
              </a:solidFill>
              <a:latin typeface="Verdana"/>
              <a:ea typeface="Verdana"/>
              <a:cs typeface="Verdana"/>
            </a:rPr>
            <a:t>         All Interruptible Requests in Reverse Direction are fully awarded. </a:t>
          </a:r>
        </a:p>
        <a:p>
          <a:pPr algn="l" rtl="0">
            <a:defRPr sz="1000"/>
          </a:pPr>
          <a:r>
            <a:rPr lang="en-US" sz="1000" b="0" i="0" u="none" strike="noStrike" baseline="0">
              <a:solidFill>
                <a:srgbClr val="333333"/>
              </a:solidFill>
              <a:latin typeface="Verdana"/>
              <a:ea typeface="Verdana"/>
              <a:cs typeface="Verdana"/>
            </a:rPr>
            <a:t>         Full Storage Customers will be forced to withdraw until the Total Contract Quantity (total flow) is zero or their use of Interruptible Space is zero.</a:t>
          </a:r>
        </a:p>
      </xdr:txBody>
    </xdr:sp>
    <xdr:clientData/>
  </xdr:twoCellAnchor>
  <xdr:twoCellAnchor editAs="oneCell">
    <xdr:from>
      <xdr:col>0</xdr:col>
      <xdr:colOff>0</xdr:colOff>
      <xdr:row>0</xdr:row>
      <xdr:rowOff>0</xdr:rowOff>
    </xdr:from>
    <xdr:to>
      <xdr:col>3</xdr:col>
      <xdr:colOff>381000</xdr:colOff>
      <xdr:row>4</xdr:row>
      <xdr:rowOff>142875</xdr:rowOff>
    </xdr:to>
    <xdr:pic>
      <xdr:nvPicPr>
        <xdr:cNvPr id="5157" name="Picture 13" descr="H:\logo-201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098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5</xdr:row>
      <xdr:rowOff>0</xdr:rowOff>
    </xdr:from>
    <xdr:to>
      <xdr:col>0</xdr:col>
      <xdr:colOff>6657975</xdr:colOff>
      <xdr:row>50</xdr:row>
      <xdr:rowOff>114300</xdr:rowOff>
    </xdr:to>
    <xdr:sp macro="" textlink="">
      <xdr:nvSpPr>
        <xdr:cNvPr id="2057" name="Text Box 9"/>
        <xdr:cNvSpPr txBox="1">
          <a:spLocks noChangeArrowheads="1"/>
        </xdr:cNvSpPr>
      </xdr:nvSpPr>
      <xdr:spPr bwMode="auto">
        <a:xfrm>
          <a:off x="76200" y="2733675"/>
          <a:ext cx="6581775" cy="7400925"/>
        </a:xfrm>
        <a:prstGeom prst="rect">
          <a:avLst/>
        </a:prstGeom>
        <a:gradFill rotWithShape="1">
          <a:gsLst>
            <a:gs pos="0">
              <a:srgbClr val="C9ECFF"/>
            </a:gs>
            <a:gs pos="100000">
              <a:srgbClr val="FFFFFF"/>
            </a:gs>
          </a:gsLst>
          <a:lin ang="5400000" scaled="1"/>
        </a:gradFill>
        <a:ln>
          <a:noFill/>
        </a:ln>
        <a:extLst>
          <a:ext uri="{91240B29-F687-4F45-9708-019B960494DF}">
            <a14:hiddenLine xmlns:a14="http://schemas.microsoft.com/office/drawing/2010/main" w="19050">
              <a:solidFill>
                <a:srgbClr xmlns:mc="http://schemas.openxmlformats.org/markup-compatibility/2006" val="808080" mc:Ignorable="a14" a14:legacySpreadsheetColorIndex="23"/>
              </a:solidFill>
              <a:miter lim="800000"/>
              <a:headEnd/>
              <a:tailEnd/>
            </a14:hiddenLine>
          </a:ext>
        </a:extLst>
      </xdr:spPr>
      <xdr:txBody>
        <a:bodyPr vertOverflow="clip" wrap="square" lIns="36576" tIns="22860" rIns="0" bIns="0" anchor="t" upright="1"/>
        <a:lstStyle/>
        <a:p>
          <a:pPr algn="l" rtl="0">
            <a:defRPr sz="1000"/>
          </a:pPr>
          <a:r>
            <a:rPr lang="en-US" sz="1000" b="1" i="0" u="none" strike="noStrike" baseline="0">
              <a:solidFill>
                <a:srgbClr val="333333"/>
              </a:solidFill>
              <a:latin typeface="Verdana"/>
              <a:ea typeface="Verdana"/>
              <a:cs typeface="Verdana"/>
            </a:rPr>
            <a:t>Explanation Calculation</a:t>
          </a:r>
        </a:p>
        <a:p>
          <a:pPr algn="l" rtl="0">
            <a:defRPr sz="1000"/>
          </a:pPr>
          <a:endParaRPr lang="en-US" sz="1000" b="1" i="0" u="none" strike="noStrike" baseline="0">
            <a:solidFill>
              <a:srgbClr val="333333"/>
            </a:solidFill>
            <a:latin typeface="Verdana"/>
            <a:ea typeface="Verdana"/>
            <a:cs typeface="Verdana"/>
          </a:endParaRPr>
        </a:p>
        <a:p>
          <a:pPr algn="l" rtl="0">
            <a:defRPr sz="1000"/>
          </a:pPr>
          <a:r>
            <a:rPr lang="en-US" sz="1000" b="1" i="0" u="none" strike="noStrike" baseline="0">
              <a:solidFill>
                <a:srgbClr val="0AB14B"/>
              </a:solidFill>
              <a:latin typeface="Verdana"/>
              <a:ea typeface="Verdana"/>
              <a:cs typeface="Verdana"/>
            </a:rPr>
            <a:t>1</a:t>
          </a:r>
          <a:r>
            <a:rPr lang="en-US" sz="1000" b="1" i="0" u="none" strike="noStrike" baseline="0">
              <a:solidFill>
                <a:srgbClr val="333333"/>
              </a:solidFill>
              <a:latin typeface="Verdana"/>
              <a:ea typeface="Verdana"/>
              <a:cs typeface="Verdana"/>
            </a:rPr>
            <a:t> </a:t>
          </a:r>
          <a:r>
            <a:rPr lang="en-US" sz="1000" b="0" i="0" u="none" strike="noStrike" baseline="0">
              <a:solidFill>
                <a:srgbClr val="333333"/>
              </a:solidFill>
              <a:latin typeface="Verdana"/>
              <a:ea typeface="Verdana"/>
              <a:cs typeface="Verdana"/>
            </a:rPr>
            <a:t> Firm Injection Capacity = Registered Injection Capacity * ipf * (1- imf - iuf - iof - iff)</a:t>
          </a:r>
        </a:p>
        <a:p>
          <a:pPr algn="l" rtl="0">
            <a:defRPr sz="1000"/>
          </a:pPr>
          <a:r>
            <a:rPr lang="en-US" sz="1000" b="1" i="0" u="none" strike="noStrike" baseline="0">
              <a:solidFill>
                <a:srgbClr val="0AB14B"/>
              </a:solidFill>
              <a:latin typeface="Verdana"/>
              <a:ea typeface="Verdana"/>
              <a:cs typeface="Verdana"/>
            </a:rPr>
            <a:t>2</a:t>
          </a:r>
          <a:r>
            <a:rPr lang="en-US" sz="1000" b="0" i="0" u="none" strike="noStrike" baseline="0">
              <a:solidFill>
                <a:srgbClr val="333333"/>
              </a:solidFill>
              <a:latin typeface="Verdana"/>
              <a:ea typeface="Verdana"/>
              <a:cs typeface="Verdana"/>
            </a:rPr>
            <a:t>  Firm Withdrawal Capacity = Registered Withdrawal Capacity * wpf * (1- wmf - wuf - wof - wff)</a:t>
          </a:r>
        </a:p>
        <a:p>
          <a:pPr algn="l" rtl="0">
            <a:defRPr sz="1000"/>
          </a:pPr>
          <a:r>
            <a:rPr lang="en-US" sz="1000" b="1" i="0" u="none" strike="noStrike" baseline="0">
              <a:solidFill>
                <a:srgbClr val="0AB14B"/>
              </a:solidFill>
              <a:latin typeface="Verdana"/>
              <a:ea typeface="Verdana"/>
              <a:cs typeface="Verdana"/>
            </a:rPr>
            <a:t>3</a:t>
          </a:r>
          <a:r>
            <a:rPr lang="en-US" sz="1000" b="0" i="0" u="none" strike="noStrike" baseline="0">
              <a:solidFill>
                <a:srgbClr val="333333"/>
              </a:solidFill>
              <a:latin typeface="Verdana"/>
              <a:ea typeface="Verdana"/>
              <a:cs typeface="Verdana"/>
            </a:rPr>
            <a:t>  The Request as submitted by the Customer.</a:t>
          </a:r>
        </a:p>
        <a:p>
          <a:pPr algn="l" rtl="0">
            <a:defRPr sz="1000"/>
          </a:pPr>
          <a:r>
            <a:rPr lang="en-US" sz="1000" b="1" i="0" u="none" strike="noStrike" baseline="0">
              <a:solidFill>
                <a:srgbClr val="0AB14B"/>
              </a:solidFill>
              <a:latin typeface="Verdana"/>
              <a:ea typeface="Verdana"/>
              <a:cs typeface="Verdana"/>
            </a:rPr>
            <a:t>4</a:t>
          </a:r>
          <a:r>
            <a:rPr lang="en-US" sz="1000" b="0" i="0" u="none" strike="noStrike" baseline="0">
              <a:solidFill>
                <a:srgbClr val="333333"/>
              </a:solidFill>
              <a:latin typeface="Verdana"/>
              <a:ea typeface="Verdana"/>
              <a:cs typeface="Verdana"/>
            </a:rPr>
            <a:t>  If a Withdrawal Request causes the Gas In Storage to be negative, the part of the Request which causes the negative Gas In Storage will be ignored.</a:t>
          </a:r>
        </a:p>
        <a:p>
          <a:pPr algn="l" rtl="0">
            <a:defRPr sz="1000"/>
          </a:pPr>
          <a:r>
            <a:rPr lang="en-US" sz="1000" b="1" i="0" u="none" strike="noStrike" baseline="0">
              <a:solidFill>
                <a:srgbClr val="0AB14B"/>
              </a:solidFill>
              <a:latin typeface="Verdana"/>
              <a:ea typeface="Verdana"/>
              <a:cs typeface="Verdana"/>
            </a:rPr>
            <a:t>5</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The Forward Direction is determined based on the 'adjusted' requests as in 4. When Forward Direction is Zero Flow then all Request as in step 4 will be awarded.</a:t>
          </a:r>
        </a:p>
        <a:p>
          <a:pPr algn="l" rtl="0">
            <a:defRPr sz="1000"/>
          </a:pPr>
          <a:r>
            <a:rPr lang="en-US" sz="1000" b="1" i="0" u="none" strike="noStrike" baseline="0">
              <a:solidFill>
                <a:srgbClr val="0AB14B"/>
              </a:solidFill>
              <a:latin typeface="Verdana"/>
              <a:ea typeface="Verdana"/>
              <a:cs typeface="Verdana"/>
            </a:rPr>
            <a:t>6</a:t>
          </a:r>
          <a:r>
            <a:rPr lang="en-US" sz="1000" b="0" i="0" u="none" strike="noStrike" baseline="0">
              <a:solidFill>
                <a:srgbClr val="333333"/>
              </a:solidFill>
              <a:latin typeface="Verdana"/>
              <a:ea typeface="Verdana"/>
              <a:cs typeface="Verdana"/>
            </a:rPr>
            <a:t>  A Customer is a Primary Injection Customer if the Registered Injection Capacity is greater than zero otherwise the Customer is a Secondary Injection Customer.</a:t>
          </a:r>
        </a:p>
        <a:p>
          <a:pPr algn="l" rtl="0">
            <a:defRPr sz="1000"/>
          </a:pPr>
          <a:r>
            <a:rPr lang="en-US" sz="1000" b="1" i="0" u="none" strike="noStrike" baseline="0">
              <a:solidFill>
                <a:srgbClr val="0AB14B"/>
              </a:solidFill>
              <a:latin typeface="Verdana"/>
              <a:ea typeface="Verdana"/>
              <a:cs typeface="Verdana"/>
            </a:rPr>
            <a:t>7</a:t>
          </a:r>
          <a:r>
            <a:rPr lang="en-US" sz="1000" b="0" i="0" u="none" strike="noStrike" baseline="0">
              <a:solidFill>
                <a:srgbClr val="333333"/>
              </a:solidFill>
              <a:latin typeface="Verdana"/>
              <a:ea typeface="Verdana"/>
              <a:cs typeface="Verdana"/>
            </a:rPr>
            <a:t>  A Customer is a Primary Withdrawal Customer if the Registered Withdrawal Capacity is greater than zero otherwise the Customer is a Secondary Withdrawal Customer.</a:t>
          </a:r>
        </a:p>
        <a:p>
          <a:pPr algn="l" rtl="0">
            <a:defRPr sz="1000"/>
          </a:pPr>
          <a:r>
            <a:rPr lang="en-US" sz="1000" b="1" i="0" u="none" strike="noStrike" baseline="0">
              <a:solidFill>
                <a:srgbClr val="0AB14B"/>
              </a:solidFill>
              <a:latin typeface="Verdana"/>
              <a:ea typeface="Verdana"/>
              <a:cs typeface="Verdana"/>
            </a:rPr>
            <a:t>8</a:t>
          </a:r>
          <a:r>
            <a:rPr lang="en-US" sz="1000" b="0" i="0" u="none" strike="noStrike" baseline="0">
              <a:solidFill>
                <a:srgbClr val="333333"/>
              </a:solidFill>
              <a:latin typeface="Verdana"/>
              <a:ea typeface="Verdana"/>
              <a:cs typeface="Verdana"/>
            </a:rPr>
            <a:t>  If an Injection Request exceeds the amount of Firm Injection Capacity, the Firm Injection Request equals the Firm Injection Capacity. If not, the Firm Injection Request equals the Injection Request. If a Withdrawal Request exceeds the amount of Firm Withdrawal Capacity, the Firm Withdrawal Request equals the Firm Withdrawal Capacity. If not, the Firm Withdrawal Request equals the Withdrawal Request.</a:t>
          </a:r>
        </a:p>
        <a:p>
          <a:pPr algn="l" rtl="0">
            <a:defRPr sz="1000"/>
          </a:pPr>
          <a:r>
            <a:rPr lang="en-US" sz="1000" b="1" i="0" u="none" strike="noStrike" baseline="0">
              <a:solidFill>
                <a:srgbClr val="0AB14B"/>
              </a:solidFill>
              <a:latin typeface="Verdana"/>
              <a:ea typeface="Verdana"/>
              <a:cs typeface="Verdana"/>
            </a:rPr>
            <a:t>9</a:t>
          </a:r>
          <a:r>
            <a:rPr lang="en-US" sz="1000" b="0" i="0" u="none" strike="noStrike" baseline="0">
              <a:solidFill>
                <a:srgbClr val="333333"/>
              </a:solidFill>
              <a:latin typeface="Verdana"/>
              <a:ea typeface="Verdana"/>
              <a:cs typeface="Verdana"/>
            </a:rPr>
            <a:t>  Any Request exceeding the Firm Capacity and in Reverse Direction is a Reverse Interruptible Request.</a:t>
          </a:r>
        </a:p>
        <a:p>
          <a:pPr algn="l" rtl="0">
            <a:defRPr sz="1000"/>
          </a:pPr>
          <a:r>
            <a:rPr lang="en-US" sz="1000" b="1" i="0" u="none" strike="noStrike" baseline="0">
              <a:solidFill>
                <a:srgbClr val="0AB14B"/>
              </a:solidFill>
              <a:latin typeface="Verdana"/>
              <a:ea typeface="Verdana"/>
              <a:cs typeface="Verdana"/>
            </a:rPr>
            <a:t>10</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Any Request exceeding the Firm Capacity and in Forward Direction is a Forward Interruptible Request.</a:t>
          </a:r>
        </a:p>
        <a:p>
          <a:pPr algn="l" rtl="0">
            <a:defRPr sz="1000"/>
          </a:pPr>
          <a:r>
            <a:rPr lang="en-US" sz="1000" b="1" i="0" u="none" strike="noStrike" baseline="0">
              <a:solidFill>
                <a:srgbClr val="0AB14B"/>
              </a:solidFill>
              <a:latin typeface="Verdana"/>
              <a:ea typeface="Verdana"/>
              <a:cs typeface="Verdana"/>
            </a:rPr>
            <a:t>11</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A Primary Foward Interruptible Request is a Forward Interruptible Request belonging to a Primary Customer.</a:t>
          </a:r>
        </a:p>
        <a:p>
          <a:pPr algn="l" rtl="0">
            <a:defRPr sz="1000"/>
          </a:pPr>
          <a:r>
            <a:rPr lang="en-US" sz="1000" b="1" i="0" u="none" strike="noStrike" baseline="0">
              <a:solidFill>
                <a:srgbClr val="0AB14B"/>
              </a:solidFill>
              <a:latin typeface="Verdana"/>
              <a:ea typeface="Verdana"/>
              <a:cs typeface="Verdana"/>
            </a:rPr>
            <a:t>12</a:t>
          </a:r>
          <a:r>
            <a:rPr lang="en-US" sz="1000" b="0" i="0" u="none" strike="noStrike" baseline="0">
              <a:solidFill>
                <a:srgbClr val="333333"/>
              </a:solidFill>
              <a:latin typeface="Verdana"/>
              <a:ea typeface="Verdana"/>
              <a:cs typeface="Verdana"/>
            </a:rPr>
            <a:t>  A Secondary Forward Interruptible Request is a Forward Interruptible request belonging to a Secondary Customer.</a:t>
          </a:r>
        </a:p>
        <a:p>
          <a:pPr algn="l" rtl="0">
            <a:defRPr sz="1000"/>
          </a:pPr>
          <a:r>
            <a:rPr lang="en-US" sz="1000" b="1" i="0" u="none" strike="noStrike" baseline="0">
              <a:solidFill>
                <a:srgbClr val="0AB14B"/>
              </a:solidFill>
              <a:latin typeface="Verdana"/>
              <a:ea typeface="Verdana"/>
              <a:cs typeface="Verdana"/>
            </a:rPr>
            <a:t>13</a:t>
          </a:r>
          <a:r>
            <a:rPr lang="en-US" sz="1000" b="0" i="0" u="none" strike="noStrike" baseline="0">
              <a:solidFill>
                <a:srgbClr val="333333"/>
              </a:solidFill>
              <a:latin typeface="Verdana"/>
              <a:ea typeface="Verdana"/>
              <a:cs typeface="Verdana"/>
            </a:rPr>
            <a:t>  The Interruptible Forward Capacity Available is equal to the total amount of Firm Capacity in Forward direction minus the sum of the Firm Forward Requests plus the sum of the Reverse Requests.</a:t>
          </a:r>
        </a:p>
        <a:p>
          <a:pPr algn="l" rtl="0">
            <a:defRPr sz="1000"/>
          </a:pPr>
          <a:r>
            <a:rPr lang="en-US" sz="1000" b="1" i="0" u="none" strike="noStrike" baseline="0">
              <a:solidFill>
                <a:srgbClr val="0AB14B"/>
              </a:solidFill>
              <a:latin typeface="Verdana"/>
              <a:ea typeface="Verdana"/>
              <a:cs typeface="Verdana"/>
            </a:rPr>
            <a:t>14</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If the sum of the Primary Forward Interruptible Requests is greater than the Interruptible Forward Capacity Available the Primary Requests will be Partly Scheduled, if not the Primary Requests will be Fully Scheduled.</a:t>
          </a:r>
        </a:p>
        <a:p>
          <a:pPr algn="l" rtl="0">
            <a:defRPr sz="1000"/>
          </a:pPr>
          <a:r>
            <a:rPr lang="en-US" sz="1000" b="1" i="0" u="none" strike="noStrike" baseline="0">
              <a:solidFill>
                <a:srgbClr val="0AB14B"/>
              </a:solidFill>
              <a:latin typeface="Verdana"/>
              <a:ea typeface="Verdana"/>
              <a:cs typeface="Verdana"/>
            </a:rPr>
            <a:t>15</a:t>
          </a:r>
          <a:r>
            <a:rPr lang="en-US" sz="1000" b="0" i="0" u="none" strike="noStrike" baseline="0">
              <a:solidFill>
                <a:srgbClr val="333333"/>
              </a:solidFill>
              <a:latin typeface="Verdana"/>
              <a:ea typeface="Verdana"/>
              <a:cs typeface="Verdana"/>
            </a:rPr>
            <a:t>  If the sum of the Secondary Forward Interruptible Requests is greater than the Interruptible Forward Capacity Available minus the sum of the Primary Forward Interruptible Requests the Secondary Requests will be Partly Scheduled, if not the Secondary Requests will be Fully Scheduled.</a:t>
          </a:r>
        </a:p>
        <a:p>
          <a:pPr algn="l" rtl="0">
            <a:defRPr sz="1000"/>
          </a:pPr>
          <a:r>
            <a:rPr lang="en-US" sz="1000" b="1" i="0" u="none" strike="noStrike" baseline="0">
              <a:solidFill>
                <a:srgbClr val="0AB14B"/>
              </a:solidFill>
              <a:latin typeface="Verdana"/>
              <a:ea typeface="Verdana"/>
              <a:cs typeface="Verdana"/>
            </a:rPr>
            <a:t>16</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The Registered Capacity in Forward Direction, which is used for calculations in case of a Primary Interruptible Forward Request (see 19 &amp; 20).</a:t>
          </a:r>
        </a:p>
        <a:p>
          <a:pPr algn="l" rtl="0">
            <a:defRPr sz="1000"/>
          </a:pPr>
          <a:r>
            <a:rPr lang="en-US" sz="1000" b="1" i="0" u="none" strike="noStrike" baseline="0">
              <a:solidFill>
                <a:srgbClr val="0AB14B"/>
              </a:solidFill>
              <a:latin typeface="Verdana"/>
              <a:ea typeface="Verdana"/>
              <a:cs typeface="Verdana"/>
            </a:rPr>
            <a:t>17</a:t>
          </a:r>
          <a:r>
            <a:rPr lang="en-US" sz="1000" b="0" i="0" u="none" strike="noStrike" baseline="0">
              <a:solidFill>
                <a:srgbClr val="333333"/>
              </a:solidFill>
              <a:latin typeface="Verdana"/>
              <a:ea typeface="Verdana"/>
              <a:cs typeface="Verdana"/>
            </a:rPr>
            <a:t>  All Firm Requests are awarded.</a:t>
          </a:r>
        </a:p>
        <a:p>
          <a:pPr algn="l" rtl="0">
            <a:defRPr sz="1000"/>
          </a:pPr>
          <a:r>
            <a:rPr lang="en-US" sz="1000" b="1" i="0" u="none" strike="noStrike" baseline="0">
              <a:solidFill>
                <a:srgbClr val="0AB14B"/>
              </a:solidFill>
              <a:latin typeface="Verdana"/>
              <a:ea typeface="Verdana"/>
              <a:cs typeface="Verdana"/>
            </a:rPr>
            <a:t>18</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All Reverse Interruptible Requests are awarded.  </a:t>
          </a:r>
        </a:p>
        <a:p>
          <a:pPr algn="l" rtl="0">
            <a:defRPr sz="1000"/>
          </a:pPr>
          <a:r>
            <a:rPr lang="en-US" sz="1000" b="1" i="0" u="none" strike="noStrike" baseline="0">
              <a:solidFill>
                <a:srgbClr val="0AB14B"/>
              </a:solidFill>
              <a:latin typeface="Verdana"/>
              <a:ea typeface="Verdana"/>
              <a:cs typeface="Verdana"/>
            </a:rPr>
            <a:t>19 &amp; 20</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If the Primary Forward Interruptible Requests can only be Partly Scheduled the Requests are awarded based on the Registered Forward Capacities. This can be a multi-cycle calculation.</a:t>
          </a:r>
        </a:p>
        <a:p>
          <a:pPr algn="l" rtl="0">
            <a:defRPr sz="1000"/>
          </a:pPr>
          <a:r>
            <a:rPr lang="en-US" sz="1000" b="1" i="0" u="none" strike="noStrike" baseline="0">
              <a:solidFill>
                <a:srgbClr val="0AB14B"/>
              </a:solidFill>
              <a:latin typeface="Verdana"/>
              <a:ea typeface="Verdana"/>
              <a:cs typeface="Verdana"/>
            </a:rPr>
            <a:t>21</a:t>
          </a:r>
          <a:r>
            <a:rPr lang="en-US" sz="1000" b="0" i="0" u="none" strike="noStrike" baseline="0">
              <a:solidFill>
                <a:srgbClr val="333333"/>
              </a:solidFill>
              <a:latin typeface="Verdana"/>
              <a:ea typeface="Verdana"/>
              <a:cs typeface="Verdana"/>
            </a:rPr>
            <a:t>  If the Secondary Forward Interruptible Requests can only be Partly Scheduled the Requests are awarded pro rata Request.</a:t>
          </a:r>
        </a:p>
        <a:p>
          <a:pPr algn="l" rtl="0">
            <a:defRPr sz="1000"/>
          </a:pPr>
          <a:r>
            <a:rPr lang="en-US" sz="1000" b="1" i="0" u="none" strike="noStrike" baseline="0">
              <a:solidFill>
                <a:srgbClr val="0AB14B"/>
              </a:solidFill>
              <a:latin typeface="Verdana"/>
              <a:ea typeface="Verdana"/>
              <a:cs typeface="Verdana"/>
            </a:rPr>
            <a:t>22</a:t>
          </a:r>
          <a:r>
            <a:rPr lang="en-US" sz="1000" b="0" i="0" u="none" strike="noStrike" baseline="0">
              <a:solidFill>
                <a:srgbClr val="333333"/>
              </a:solidFill>
              <a:latin typeface="Verdana"/>
              <a:ea typeface="Verdana"/>
              <a:cs typeface="Verdana"/>
            </a:rPr>
            <a:t>  The Total Contract Quantity is equal to the the Firm Contract Quantity plus the Backward Interruptible Contract Quantity plus the Primary Interruptible Contract Quantity plus the Secondary Interruptible Contract Quantity.</a:t>
          </a:r>
          <a:endParaRPr lang="en-US" sz="1000" b="1" i="0" u="none" strike="noStrike" baseline="0">
            <a:solidFill>
              <a:srgbClr val="000000"/>
            </a:solidFill>
            <a:latin typeface="Verdana"/>
            <a:ea typeface="Verdana"/>
            <a:cs typeface="Verdana"/>
          </a:endParaRPr>
        </a:p>
        <a:p>
          <a:pPr algn="l" rtl="0">
            <a:defRPr sz="1000"/>
          </a:pPr>
          <a:endParaRPr lang="en-US" sz="1000" b="1" i="0" u="none" strike="noStrike" baseline="0">
            <a:solidFill>
              <a:srgbClr val="000000"/>
            </a:solidFill>
            <a:latin typeface="Verdana"/>
            <a:ea typeface="Verdana"/>
            <a:cs typeface="Verdana"/>
          </a:endParaRPr>
        </a:p>
      </xdr:txBody>
    </xdr:sp>
    <xdr:clientData/>
  </xdr:twoCellAnchor>
  <xdr:twoCellAnchor>
    <xdr:from>
      <xdr:col>0</xdr:col>
      <xdr:colOff>76200</xdr:colOff>
      <xdr:row>0</xdr:row>
      <xdr:rowOff>1352550</xdr:rowOff>
    </xdr:from>
    <xdr:to>
      <xdr:col>0</xdr:col>
      <xdr:colOff>6638925</xdr:colOff>
      <xdr:row>4</xdr:row>
      <xdr:rowOff>133350</xdr:rowOff>
    </xdr:to>
    <xdr:sp macro="" textlink="">
      <xdr:nvSpPr>
        <xdr:cNvPr id="2061" name="Text Box 13"/>
        <xdr:cNvSpPr txBox="1">
          <a:spLocks noChangeArrowheads="1"/>
        </xdr:cNvSpPr>
      </xdr:nvSpPr>
      <xdr:spPr bwMode="auto">
        <a:xfrm>
          <a:off x="76200" y="1352550"/>
          <a:ext cx="6562725" cy="1343025"/>
        </a:xfrm>
        <a:prstGeom prst="rect">
          <a:avLst/>
        </a:prstGeom>
        <a:gradFill rotWithShape="1">
          <a:gsLst>
            <a:gs pos="0">
              <a:srgbClr val="C9ECFF"/>
            </a:gs>
            <a:gs pos="100000">
              <a:srgbClr val="FFFFFF"/>
            </a:gs>
          </a:gsLst>
          <a:lin ang="5400000" scaled="1"/>
        </a:gradFill>
        <a:ln>
          <a:noFill/>
        </a:ln>
        <a:extLst>
          <a:ext uri="{91240B29-F687-4F45-9708-019B960494DF}">
            <a14:hiddenLine xmlns:a14="http://schemas.microsoft.com/office/drawing/2010/main" w="19050">
              <a:solidFill>
                <a:srgbClr xmlns:mc="http://schemas.openxmlformats.org/markup-compatibility/2006" val="808080" mc:Ignorable="a14" a14:legacySpreadsheetColorIndex="23"/>
              </a:solidFill>
              <a:miter lim="800000"/>
              <a:headEnd/>
              <a:tailEnd/>
            </a14:hiddenLine>
          </a:ext>
        </a:extLst>
      </xdr:spPr>
      <xdr:txBody>
        <a:bodyPr vertOverflow="clip" wrap="square" lIns="36576" tIns="22860" rIns="0" bIns="0" anchor="t" upright="1"/>
        <a:lstStyle/>
        <a:p>
          <a:pPr algn="l" rtl="0">
            <a:defRPr sz="1000"/>
          </a:pPr>
          <a:r>
            <a:rPr lang="en-US" sz="1000" b="1" i="0" u="none" strike="noStrike" baseline="0">
              <a:solidFill>
                <a:srgbClr val="333333"/>
              </a:solidFill>
              <a:latin typeface="Verdana"/>
              <a:ea typeface="Verdana"/>
              <a:cs typeface="Verdana"/>
            </a:rPr>
            <a:t>Example Normal Storage Day</a:t>
          </a:r>
        </a:p>
        <a:p>
          <a:pPr algn="l" rtl="0">
            <a:defRPr sz="1000"/>
          </a:pPr>
          <a:r>
            <a:rPr lang="en-US" sz="1000" b="0" i="1" u="none" strike="noStrike" baseline="0">
              <a:solidFill>
                <a:srgbClr val="333333"/>
              </a:solidFill>
              <a:latin typeface="Verdana"/>
              <a:ea typeface="Verdana"/>
              <a:cs typeface="Verdana"/>
            </a:rPr>
            <a:t>The example calculates Firm and Interruptible Requests for hour 08-09 on day D.</a:t>
          </a:r>
        </a:p>
        <a:p>
          <a:pPr algn="l" rtl="0">
            <a:defRPr sz="1000"/>
          </a:pPr>
          <a:r>
            <a:rPr lang="en-US" sz="1000" b="0" i="1" u="none" strike="noStrike" baseline="0">
              <a:solidFill>
                <a:srgbClr val="333333"/>
              </a:solidFill>
              <a:latin typeface="Verdana"/>
              <a:ea typeface="Verdana"/>
              <a:cs typeface="Verdana"/>
            </a:rPr>
            <a:t>The Gas-In-Storage (D 06-07) value is the predicted value used in the D-1 processes, we use one value in this example for reasons of simplification.</a:t>
          </a:r>
        </a:p>
        <a:p>
          <a:pPr algn="l" rtl="0">
            <a:defRPr sz="1000"/>
          </a:pPr>
          <a:r>
            <a:rPr lang="en-US" sz="1000" b="0" i="1" u="none" strike="noStrike" baseline="0">
              <a:solidFill>
                <a:srgbClr val="0AB14B"/>
              </a:solidFill>
              <a:latin typeface="Verdana"/>
              <a:ea typeface="Verdana"/>
              <a:cs typeface="Verdana"/>
            </a:rPr>
            <a:t>In calculations:Withdrawal Capacities &amp; Requests are negative, Injection Requests are positive.</a:t>
          </a:r>
          <a:endParaRPr lang="en-US" sz="1000" b="0" i="0" u="none" strike="noStrike" baseline="0">
            <a:solidFill>
              <a:srgbClr val="0AB14B"/>
            </a:solidFill>
            <a:latin typeface="Verdana"/>
            <a:ea typeface="Verdana"/>
            <a:cs typeface="Verdana"/>
          </a:endParaRPr>
        </a:p>
        <a:p>
          <a:pPr algn="l" rtl="0">
            <a:defRPr sz="1000"/>
          </a:pPr>
          <a:r>
            <a:rPr lang="en-US" sz="1000" b="0" i="1" u="none" strike="noStrike" baseline="0">
              <a:solidFill>
                <a:srgbClr val="0AB14B"/>
              </a:solidFill>
              <a:latin typeface="Verdana"/>
              <a:ea typeface="Verdana"/>
              <a:cs typeface="Verdana"/>
            </a:rPr>
            <a:t>In text: All Requests and Capacities are positive</a:t>
          </a:r>
          <a:endParaRPr lang="en-US" sz="1000" b="0" i="1" u="none" strike="noStrike" baseline="0">
            <a:solidFill>
              <a:srgbClr val="333333"/>
            </a:solidFill>
            <a:latin typeface="Verdana"/>
            <a:ea typeface="Verdana"/>
            <a:cs typeface="Verdana"/>
          </a:endParaRPr>
        </a:p>
        <a:p>
          <a:pPr algn="l" rtl="0">
            <a:defRPr sz="1000"/>
          </a:pPr>
          <a:r>
            <a:rPr lang="en-US" sz="1000" b="0" i="1" u="none" strike="noStrike" baseline="0">
              <a:solidFill>
                <a:srgbClr val="333333"/>
              </a:solidFill>
              <a:latin typeface="Verdana"/>
              <a:ea typeface="Verdana"/>
              <a:cs typeface="Verdana"/>
            </a:rPr>
            <a:t>Maintenance is not taken into account to make calculations more transparant.</a:t>
          </a:r>
          <a:endParaRPr lang="en-US" sz="1000" b="1" i="0" u="none" strike="noStrike" baseline="0">
            <a:solidFill>
              <a:srgbClr val="333333"/>
            </a:solidFill>
            <a:latin typeface="Verdana"/>
            <a:ea typeface="Verdana"/>
            <a:cs typeface="Verdana"/>
          </a:endParaRPr>
        </a:p>
        <a:p>
          <a:pPr algn="l" rtl="0">
            <a:defRPr sz="1000"/>
          </a:pPr>
          <a:r>
            <a:rPr lang="en-US" sz="1000" b="0" i="1" u="none" strike="noStrike" baseline="0">
              <a:solidFill>
                <a:srgbClr val="333333"/>
              </a:solidFill>
              <a:latin typeface="Verdana"/>
              <a:ea typeface="Verdana"/>
              <a:cs typeface="Verdana"/>
            </a:rPr>
            <a:t>Capacities are in kWh/h, Gas-In-Storage, Requests and Contracted Quantities are in kWh.</a:t>
          </a:r>
        </a:p>
      </xdr:txBody>
    </xdr:sp>
    <xdr:clientData/>
  </xdr:twoCellAnchor>
  <xdr:twoCellAnchor>
    <xdr:from>
      <xdr:col>6</xdr:col>
      <xdr:colOff>381000</xdr:colOff>
      <xdr:row>0</xdr:row>
      <xdr:rowOff>0</xdr:rowOff>
    </xdr:from>
    <xdr:to>
      <xdr:col>11</xdr:col>
      <xdr:colOff>409575</xdr:colOff>
      <xdr:row>4</xdr:row>
      <xdr:rowOff>0</xdr:rowOff>
    </xdr:to>
    <xdr:graphicFrame macro="">
      <xdr:nvGraphicFramePr>
        <xdr:cNvPr id="2139"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600075</xdr:colOff>
      <xdr:row>0</xdr:row>
      <xdr:rowOff>0</xdr:rowOff>
    </xdr:from>
    <xdr:to>
      <xdr:col>7</xdr:col>
      <xdr:colOff>428625</xdr:colOff>
      <xdr:row>4</xdr:row>
      <xdr:rowOff>0</xdr:rowOff>
    </xdr:to>
    <xdr:graphicFrame macro="">
      <xdr:nvGraphicFramePr>
        <xdr:cNvPr id="2140" name="Chart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6677025</xdr:colOff>
      <xdr:row>0</xdr:row>
      <xdr:rowOff>95250</xdr:rowOff>
    </xdr:from>
    <xdr:to>
      <xdr:col>3</xdr:col>
      <xdr:colOff>581025</xdr:colOff>
      <xdr:row>1</xdr:row>
      <xdr:rowOff>114300</xdr:rowOff>
    </xdr:to>
    <xdr:pic>
      <xdr:nvPicPr>
        <xdr:cNvPr id="2141" name="Picture 4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77025" y="95250"/>
          <a:ext cx="1638300"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3228975</xdr:colOff>
      <xdr:row>0</xdr:row>
      <xdr:rowOff>171450</xdr:rowOff>
    </xdr:from>
    <xdr:to>
      <xdr:col>0</xdr:col>
      <xdr:colOff>5581650</xdr:colOff>
      <xdr:row>0</xdr:row>
      <xdr:rowOff>1266825</xdr:rowOff>
    </xdr:to>
    <xdr:sp macro="" textlink="">
      <xdr:nvSpPr>
        <xdr:cNvPr id="2097" name="Text Box 49"/>
        <xdr:cNvSpPr txBox="1">
          <a:spLocks noChangeArrowheads="1"/>
        </xdr:cNvSpPr>
      </xdr:nvSpPr>
      <xdr:spPr bwMode="auto">
        <a:xfrm>
          <a:off x="3228975" y="171450"/>
          <a:ext cx="2352675" cy="1095375"/>
        </a:xfrm>
        <a:prstGeom prst="rect">
          <a:avLst/>
        </a:prstGeom>
        <a:gradFill rotWithShape="1">
          <a:gsLst>
            <a:gs pos="0">
              <a:srgbClr val="C9ECFF"/>
            </a:gs>
            <a:gs pos="100000">
              <a:srgbClr val="EEF9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1" i="0" u="none" strike="noStrike" baseline="0">
              <a:solidFill>
                <a:srgbClr val="00529B"/>
              </a:solidFill>
              <a:latin typeface="Verdana"/>
              <a:ea typeface="Verdana"/>
              <a:cs typeface="Verdana"/>
            </a:rPr>
            <a:t>Refers to SSSA</a:t>
          </a:r>
          <a:endParaRPr lang="en-US" sz="800" b="0" i="0" u="none" strike="noStrike" baseline="0">
            <a:solidFill>
              <a:srgbClr val="333333"/>
            </a:solidFill>
            <a:latin typeface="Verdana"/>
            <a:ea typeface="Verdana"/>
            <a:cs typeface="Verdana"/>
          </a:endParaRPr>
        </a:p>
        <a:p>
          <a:pPr algn="l" rtl="0">
            <a:defRPr sz="1000"/>
          </a:pPr>
          <a:r>
            <a:rPr lang="en-US" sz="800" b="0" i="0" u="none" strike="noStrike" baseline="0">
              <a:solidFill>
                <a:srgbClr val="00529B"/>
              </a:solidFill>
              <a:latin typeface="Verdana"/>
              <a:ea typeface="Verdana"/>
              <a:cs typeface="Verdana"/>
            </a:rPr>
            <a:t>3. Registered Capacity and Firm Capacity</a:t>
          </a:r>
        </a:p>
        <a:p>
          <a:pPr algn="l" rtl="0">
            <a:defRPr sz="1000"/>
          </a:pPr>
          <a:r>
            <a:rPr lang="en-US" sz="800" b="0" i="0" u="none" strike="noStrike" baseline="0">
              <a:solidFill>
                <a:srgbClr val="00529B"/>
              </a:solidFill>
              <a:latin typeface="Verdana"/>
              <a:ea typeface="Verdana"/>
              <a:cs typeface="Verdana"/>
            </a:rPr>
            <a:t>4. Requests and Requested Quantity</a:t>
          </a:r>
        </a:p>
        <a:p>
          <a:pPr algn="l" rtl="0">
            <a:defRPr sz="1000"/>
          </a:pPr>
          <a:r>
            <a:rPr lang="en-US" sz="800" b="0" i="0" u="none" strike="noStrike" baseline="0">
              <a:solidFill>
                <a:srgbClr val="00529B"/>
              </a:solidFill>
              <a:latin typeface="Verdana"/>
              <a:ea typeface="Verdana"/>
              <a:cs typeface="Verdana"/>
            </a:rPr>
            <a:t>5. Injection and Withdrawal</a:t>
          </a:r>
        </a:p>
        <a:p>
          <a:pPr algn="l" rtl="0">
            <a:defRPr sz="1000"/>
          </a:pPr>
          <a:r>
            <a:rPr lang="en-US" sz="800" b="0" i="0" u="none" strike="noStrike" baseline="0">
              <a:solidFill>
                <a:srgbClr val="00529B"/>
              </a:solidFill>
              <a:latin typeface="Verdana"/>
              <a:ea typeface="Verdana"/>
              <a:cs typeface="Verdana"/>
            </a:rPr>
            <a:t>6. Interruptible Capacity</a:t>
          </a:r>
        </a:p>
        <a:p>
          <a:pPr algn="l" rtl="0">
            <a:defRPr sz="1000"/>
          </a:pPr>
          <a:r>
            <a:rPr lang="en-US" sz="800" b="0" i="0" u="none" strike="noStrike" baseline="0">
              <a:solidFill>
                <a:srgbClr val="00529B"/>
              </a:solidFill>
              <a:latin typeface="Verdana"/>
              <a:ea typeface="Verdana"/>
              <a:cs typeface="Verdana"/>
            </a:rPr>
            <a:t>7. Gas-in-Storage</a:t>
          </a:r>
        </a:p>
        <a:p>
          <a:pPr algn="l" rtl="0">
            <a:defRPr sz="1000"/>
          </a:pPr>
          <a:r>
            <a:rPr lang="en-US" sz="800" b="0" i="0" u="none" strike="noStrike" baseline="0">
              <a:solidFill>
                <a:srgbClr val="00529B"/>
              </a:solidFill>
              <a:latin typeface="Verdana"/>
              <a:ea typeface="Verdana"/>
              <a:cs typeface="Verdana"/>
            </a:rPr>
            <a:t>Schedule C Request Procedure</a:t>
          </a:r>
        </a:p>
        <a:p>
          <a:pPr algn="l" rtl="0">
            <a:defRPr sz="1000"/>
          </a:pPr>
          <a:r>
            <a:rPr lang="en-US" sz="800" b="0" i="0" u="none" strike="noStrike" baseline="0">
              <a:solidFill>
                <a:srgbClr val="00529B"/>
              </a:solidFill>
              <a:latin typeface="Verdana"/>
              <a:ea typeface="Verdana"/>
              <a:cs typeface="Verdana"/>
            </a:rPr>
            <a:t>Schedule E Interruptible Capacity</a:t>
          </a:r>
          <a:endParaRPr lang="en-US" sz="800" b="0" i="0" u="none" strike="noStrike" baseline="0">
            <a:solidFill>
              <a:srgbClr val="333333"/>
            </a:solidFill>
            <a:latin typeface="Verdana"/>
            <a:ea typeface="Verdana"/>
            <a:cs typeface="Verdana"/>
          </a:endParaRPr>
        </a:p>
        <a:p>
          <a:pPr algn="l" rtl="0">
            <a:defRPr sz="1000"/>
          </a:pPr>
          <a:endParaRPr lang="en-US" sz="800" b="0" i="0" u="none" strike="noStrike" baseline="0">
            <a:solidFill>
              <a:srgbClr val="333333"/>
            </a:solidFill>
            <a:latin typeface="Verdana"/>
            <a:ea typeface="Verdana"/>
            <a:cs typeface="Verdana"/>
          </a:endParaRPr>
        </a:p>
      </xdr:txBody>
    </xdr:sp>
    <xdr:clientData/>
  </xdr:twoCellAnchor>
  <xdr:twoCellAnchor editAs="oneCell">
    <xdr:from>
      <xdr:col>0</xdr:col>
      <xdr:colOff>5743575</xdr:colOff>
      <xdr:row>0</xdr:row>
      <xdr:rowOff>600075</xdr:rowOff>
    </xdr:from>
    <xdr:to>
      <xdr:col>0</xdr:col>
      <xdr:colOff>6610350</xdr:colOff>
      <xdr:row>0</xdr:row>
      <xdr:rowOff>1295400</xdr:rowOff>
    </xdr:to>
    <xdr:pic>
      <xdr:nvPicPr>
        <xdr:cNvPr id="2143" name="Picture 5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43575" y="600075"/>
          <a:ext cx="8667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704850</xdr:colOff>
      <xdr:row>0</xdr:row>
      <xdr:rowOff>38100</xdr:rowOff>
    </xdr:from>
    <xdr:to>
      <xdr:col>6</xdr:col>
      <xdr:colOff>19050</xdr:colOff>
      <xdr:row>0</xdr:row>
      <xdr:rowOff>238125</xdr:rowOff>
    </xdr:to>
    <xdr:sp macro="" textlink="">
      <xdr:nvSpPr>
        <xdr:cNvPr id="2100" name="Text Box 52"/>
        <xdr:cNvSpPr txBox="1">
          <a:spLocks noChangeArrowheads="1"/>
        </xdr:cNvSpPr>
      </xdr:nvSpPr>
      <xdr:spPr bwMode="auto">
        <a:xfrm>
          <a:off x="9277350" y="38100"/>
          <a:ext cx="476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en-GB" sz="1000" b="1" i="0" u="none" strike="noStrike" baseline="0">
              <a:solidFill>
                <a:srgbClr val="000000"/>
              </a:solidFill>
              <a:latin typeface="Verdana"/>
              <a:ea typeface="Verdana"/>
              <a:cs typeface="Verdana"/>
            </a:rPr>
            <a:t>SUM</a:t>
          </a:r>
          <a:endParaRPr lang="en-GB"/>
        </a:p>
      </xdr:txBody>
    </xdr:sp>
    <xdr:clientData/>
  </xdr:twoCellAnchor>
  <xdr:twoCellAnchor editAs="oneCell">
    <xdr:from>
      <xdr:col>0</xdr:col>
      <xdr:colOff>0</xdr:colOff>
      <xdr:row>0</xdr:row>
      <xdr:rowOff>0</xdr:rowOff>
    </xdr:from>
    <xdr:to>
      <xdr:col>0</xdr:col>
      <xdr:colOff>2209800</xdr:colOff>
      <xdr:row>0</xdr:row>
      <xdr:rowOff>790575</xdr:rowOff>
    </xdr:to>
    <xdr:pic>
      <xdr:nvPicPr>
        <xdr:cNvPr id="2145" name="Picture 13" descr="H:\logo-2012.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0"/>
          <a:ext cx="22098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5</xdr:row>
      <xdr:rowOff>0</xdr:rowOff>
    </xdr:from>
    <xdr:to>
      <xdr:col>0</xdr:col>
      <xdr:colOff>6638925</xdr:colOff>
      <xdr:row>50</xdr:row>
      <xdr:rowOff>0</xdr:rowOff>
    </xdr:to>
    <xdr:sp macro="" textlink="">
      <xdr:nvSpPr>
        <xdr:cNvPr id="6145" name="Text Box 1"/>
        <xdr:cNvSpPr txBox="1">
          <a:spLocks noChangeArrowheads="1"/>
        </xdr:cNvSpPr>
      </xdr:nvSpPr>
      <xdr:spPr bwMode="auto">
        <a:xfrm>
          <a:off x="57150" y="2733675"/>
          <a:ext cx="6581775" cy="7286625"/>
        </a:xfrm>
        <a:prstGeom prst="rect">
          <a:avLst/>
        </a:prstGeom>
        <a:gradFill rotWithShape="1">
          <a:gsLst>
            <a:gs pos="0">
              <a:srgbClr val="C9ECFF"/>
            </a:gs>
            <a:gs pos="100000">
              <a:srgbClr val="FFFFFF"/>
            </a:gs>
          </a:gsLst>
          <a:lin ang="5400000" scaled="1"/>
        </a:gradFill>
        <a:ln>
          <a:noFill/>
        </a:ln>
        <a:extLst>
          <a:ext uri="{91240B29-F687-4F45-9708-019B960494DF}">
            <a14:hiddenLine xmlns:a14="http://schemas.microsoft.com/office/drawing/2010/main" w="19050">
              <a:solidFill>
                <a:srgbClr xmlns:mc="http://schemas.openxmlformats.org/markup-compatibility/2006" val="808080" mc:Ignorable="a14" a14:legacySpreadsheetColorIndex="23"/>
              </a:solidFill>
              <a:miter lim="800000"/>
              <a:headEnd/>
              <a:tailEnd/>
            </a14:hiddenLine>
          </a:ext>
        </a:extLst>
      </xdr:spPr>
      <xdr:txBody>
        <a:bodyPr vertOverflow="clip" wrap="square" lIns="36576" tIns="22860" rIns="0" bIns="0" anchor="t" upright="1"/>
        <a:lstStyle/>
        <a:p>
          <a:pPr algn="l" rtl="0">
            <a:defRPr sz="1000"/>
          </a:pPr>
          <a:r>
            <a:rPr lang="en-US" sz="1000" b="1" i="0" u="none" strike="noStrike" baseline="0">
              <a:solidFill>
                <a:srgbClr val="333333"/>
              </a:solidFill>
              <a:latin typeface="Verdana"/>
              <a:ea typeface="Verdana"/>
              <a:cs typeface="Verdana"/>
            </a:rPr>
            <a:t>Explanation Calculation</a:t>
          </a:r>
        </a:p>
        <a:p>
          <a:pPr algn="l" rtl="0">
            <a:defRPr sz="1000"/>
          </a:pPr>
          <a:endParaRPr lang="en-US" sz="1000" b="1" i="0" u="none" strike="noStrike" baseline="0">
            <a:solidFill>
              <a:srgbClr val="333333"/>
            </a:solidFill>
            <a:latin typeface="Verdana"/>
            <a:ea typeface="Verdana"/>
            <a:cs typeface="Verdana"/>
          </a:endParaRPr>
        </a:p>
        <a:p>
          <a:pPr algn="l" rtl="0">
            <a:defRPr sz="1000"/>
          </a:pPr>
          <a:r>
            <a:rPr lang="en-US" sz="1000" b="1" i="0" u="none" strike="noStrike" baseline="0">
              <a:solidFill>
                <a:srgbClr val="0AB14B"/>
              </a:solidFill>
              <a:latin typeface="Verdana"/>
              <a:ea typeface="Verdana"/>
              <a:cs typeface="Verdana"/>
            </a:rPr>
            <a:t>1</a:t>
          </a:r>
          <a:r>
            <a:rPr lang="en-US" sz="1000" b="1" i="0" u="none" strike="noStrike" baseline="0">
              <a:solidFill>
                <a:srgbClr val="333333"/>
              </a:solidFill>
              <a:latin typeface="Verdana"/>
              <a:ea typeface="Verdana"/>
              <a:cs typeface="Verdana"/>
            </a:rPr>
            <a:t> </a:t>
          </a:r>
          <a:r>
            <a:rPr lang="en-US" sz="1000" b="0" i="0" u="none" strike="noStrike" baseline="0">
              <a:solidFill>
                <a:srgbClr val="333333"/>
              </a:solidFill>
              <a:latin typeface="Verdana"/>
              <a:ea typeface="Verdana"/>
              <a:cs typeface="Verdana"/>
            </a:rPr>
            <a:t> Firm Injection Capacity = Registered Injection Capacity * ipf * (1- imf - iuf - iof - iff)</a:t>
          </a:r>
        </a:p>
        <a:p>
          <a:pPr algn="l" rtl="0">
            <a:defRPr sz="1000"/>
          </a:pPr>
          <a:r>
            <a:rPr lang="en-US" sz="1000" b="1" i="0" u="none" strike="noStrike" baseline="0">
              <a:solidFill>
                <a:srgbClr val="0AB14B"/>
              </a:solidFill>
              <a:latin typeface="Verdana"/>
              <a:ea typeface="Verdana"/>
              <a:cs typeface="Verdana"/>
            </a:rPr>
            <a:t>2</a:t>
          </a:r>
          <a:r>
            <a:rPr lang="en-US" sz="1000" b="0" i="0" u="none" strike="noStrike" baseline="0">
              <a:solidFill>
                <a:srgbClr val="333333"/>
              </a:solidFill>
              <a:latin typeface="Verdana"/>
              <a:ea typeface="Verdana"/>
              <a:cs typeface="Verdana"/>
            </a:rPr>
            <a:t>  Firm Withdrawal Capacity = Registered Withdrawal Capacity * wpf * (1- wmf - wuf - wof - wff)</a:t>
          </a:r>
        </a:p>
        <a:p>
          <a:pPr algn="l" rtl="0">
            <a:defRPr sz="1000"/>
          </a:pPr>
          <a:r>
            <a:rPr lang="en-US" sz="1000" b="1" i="0" u="none" strike="noStrike" baseline="0">
              <a:solidFill>
                <a:srgbClr val="0AB14B"/>
              </a:solidFill>
              <a:latin typeface="Verdana"/>
              <a:ea typeface="Verdana"/>
              <a:cs typeface="Verdana"/>
            </a:rPr>
            <a:t>3</a:t>
          </a:r>
          <a:r>
            <a:rPr lang="en-US" sz="1000" b="0" i="0" u="none" strike="noStrike" baseline="0">
              <a:solidFill>
                <a:srgbClr val="333333"/>
              </a:solidFill>
              <a:latin typeface="Verdana"/>
              <a:ea typeface="Verdana"/>
              <a:cs typeface="Verdana"/>
            </a:rPr>
            <a:t>  The request as submitted by the Customer.</a:t>
          </a:r>
        </a:p>
        <a:p>
          <a:pPr algn="l" rtl="0">
            <a:defRPr sz="1000"/>
          </a:pPr>
          <a:r>
            <a:rPr lang="en-US" sz="1000" b="1" i="0" u="none" strike="noStrike" baseline="0">
              <a:solidFill>
                <a:srgbClr val="0AB14B"/>
              </a:solidFill>
              <a:latin typeface="Verdana"/>
              <a:ea typeface="Verdana"/>
              <a:cs typeface="Verdana"/>
            </a:rPr>
            <a:t>4</a:t>
          </a:r>
          <a:r>
            <a:rPr lang="en-US" sz="1000" b="0" i="0" u="none" strike="noStrike" baseline="0">
              <a:solidFill>
                <a:srgbClr val="333333"/>
              </a:solidFill>
              <a:latin typeface="Verdana"/>
              <a:ea typeface="Verdana"/>
              <a:cs typeface="Verdana"/>
            </a:rPr>
            <a:t>  If a Withdrawal Request causes the Gas In Storage to be negative the Request the part of the Request which causes the negative Gas In Storage will be ignored.</a:t>
          </a:r>
        </a:p>
        <a:p>
          <a:pPr algn="l" rtl="0">
            <a:defRPr sz="1000"/>
          </a:pPr>
          <a:r>
            <a:rPr lang="en-US" sz="1000" b="1" i="0" u="none" strike="noStrike" baseline="0">
              <a:solidFill>
                <a:srgbClr val="0AB14B"/>
              </a:solidFill>
              <a:latin typeface="Verdana"/>
              <a:ea typeface="Verdana"/>
              <a:cs typeface="Verdana"/>
            </a:rPr>
            <a:t>5</a:t>
          </a:r>
          <a:r>
            <a:rPr lang="en-US" sz="1000" b="0" i="0" u="none" strike="noStrike" baseline="0">
              <a:solidFill>
                <a:srgbClr val="333333"/>
              </a:solidFill>
              <a:latin typeface="Verdana"/>
              <a:ea typeface="Verdana"/>
              <a:cs typeface="Verdana"/>
            </a:rPr>
            <a:t>  Any further use of Interruptible Space is not allowed, request are ignored accordingly.</a:t>
          </a:r>
        </a:p>
        <a:p>
          <a:pPr algn="l" rtl="0">
            <a:defRPr sz="1000"/>
          </a:pPr>
          <a:r>
            <a:rPr lang="en-US" sz="1000" b="1" i="0" u="none" strike="noStrike" baseline="0">
              <a:solidFill>
                <a:srgbClr val="0AB14B"/>
              </a:solidFill>
              <a:latin typeface="Verdana"/>
              <a:ea typeface="Verdana"/>
              <a:cs typeface="Verdana"/>
            </a:rPr>
            <a:t>6</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If an Injection Request exceeds the amount of Firm Injection Capacity, the Firm Injection Request equals the Firm Injection Capacity. If not, the Firm Injection Request equals the Injection Request. If a Withdrawal Request exceeds the amount of Firm Withdrawal Capacity, the Firm Withdrawal Request equals the Firm Withdrawal Capacity. If not, the Firm Withdrawal Request equals the Withdrawal Request.</a:t>
          </a:r>
        </a:p>
        <a:p>
          <a:pPr algn="l" rtl="0">
            <a:defRPr sz="1000"/>
          </a:pPr>
          <a:r>
            <a:rPr lang="en-US" sz="1000" b="1" i="0" u="none" strike="noStrike" baseline="0">
              <a:solidFill>
                <a:srgbClr val="0AB14B"/>
              </a:solidFill>
              <a:latin typeface="Verdana"/>
              <a:ea typeface="Verdana"/>
              <a:cs typeface="Verdana"/>
            </a:rPr>
            <a:t>7</a:t>
          </a:r>
          <a:r>
            <a:rPr lang="en-US" sz="1000" b="0" i="0" u="none" strike="noStrike" baseline="0">
              <a:solidFill>
                <a:srgbClr val="333333"/>
              </a:solidFill>
              <a:latin typeface="Verdana"/>
              <a:ea typeface="Verdana"/>
              <a:cs typeface="Verdana"/>
            </a:rPr>
            <a:t>  Any Withdrawal Request exceeding the Firm Withdrawal Capacity is an Interruptible Withdrawal Request.</a:t>
          </a:r>
        </a:p>
        <a:p>
          <a:pPr algn="l" rtl="0">
            <a:defRPr sz="1000"/>
          </a:pPr>
          <a:r>
            <a:rPr lang="en-US" sz="1000" b="1" i="0" u="none" strike="noStrike" baseline="0">
              <a:solidFill>
                <a:srgbClr val="0AB14B"/>
              </a:solidFill>
              <a:latin typeface="Verdana"/>
              <a:ea typeface="Verdana"/>
              <a:cs typeface="Verdana"/>
            </a:rPr>
            <a:t>8</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Any Injection Request exceeding the Firm Injection Capacity is an Interruptible Injection Request.</a:t>
          </a:r>
        </a:p>
        <a:p>
          <a:pPr algn="l" rtl="0">
            <a:defRPr sz="1000"/>
          </a:pPr>
          <a:r>
            <a:rPr lang="en-US" sz="1000" b="1" i="0" u="none" strike="noStrike" baseline="0">
              <a:solidFill>
                <a:srgbClr val="0AB14B"/>
              </a:solidFill>
              <a:latin typeface="Verdana"/>
              <a:ea typeface="Verdana"/>
              <a:cs typeface="Verdana"/>
            </a:rPr>
            <a:t>9</a:t>
          </a:r>
          <a:r>
            <a:rPr lang="en-US" sz="1000" b="0" i="0" u="none" strike="noStrike" baseline="0">
              <a:solidFill>
                <a:srgbClr val="333333"/>
              </a:solidFill>
              <a:latin typeface="Verdana"/>
              <a:ea typeface="Verdana"/>
              <a:cs typeface="Verdana"/>
            </a:rPr>
            <a:t>  The Forward Direction is at first determined by the sum of Firm Injection Requests minus the sum of  Withdrawal Requests. If this Direction is positive (equals Injection) then Mandatory Withdrawal will apply. This is calculated in sheet </a:t>
          </a:r>
          <a:r>
            <a:rPr lang="en-US" sz="1000" b="1" i="0" u="none" strike="noStrike" baseline="0">
              <a:solidFill>
                <a:srgbClr val="333333"/>
              </a:solidFill>
              <a:latin typeface="Verdana"/>
              <a:ea typeface="Verdana"/>
              <a:cs typeface="Verdana"/>
            </a:rPr>
            <a:t>FSD Mandatory Withdrawal</a:t>
          </a:r>
          <a:r>
            <a:rPr lang="en-US" sz="1000" b="0" i="0" u="none" strike="noStrike" baseline="0">
              <a:solidFill>
                <a:srgbClr val="333333"/>
              </a:solidFill>
              <a:latin typeface="Verdana"/>
              <a:ea typeface="Verdana"/>
              <a:cs typeface="Verdana"/>
            </a:rPr>
            <a:t>.</a:t>
          </a:r>
        </a:p>
        <a:p>
          <a:pPr algn="l" rtl="0">
            <a:defRPr sz="1000"/>
          </a:pPr>
          <a:r>
            <a:rPr lang="en-US" sz="1000" b="1" i="0" u="none" strike="noStrike" baseline="0">
              <a:solidFill>
                <a:srgbClr val="0AB14B"/>
              </a:solidFill>
              <a:latin typeface="Verdana"/>
              <a:ea typeface="Verdana"/>
              <a:cs typeface="Verdana"/>
            </a:rPr>
            <a:t>10</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If the initial Forward Direction is Withdrawal the Forward Direction is recalculated by adding the sum of Interruptible Injection Requests to the first Forward Direction.</a:t>
          </a:r>
        </a:p>
        <a:p>
          <a:pPr algn="l" rtl="0">
            <a:defRPr sz="1000"/>
          </a:pPr>
          <a:r>
            <a:rPr lang="en-US" sz="1000" b="1" i="0" u="none" strike="noStrike" baseline="0">
              <a:solidFill>
                <a:srgbClr val="0AB14B"/>
              </a:solidFill>
              <a:latin typeface="Verdana"/>
              <a:ea typeface="Verdana"/>
              <a:cs typeface="Verdana"/>
            </a:rPr>
            <a:t>11</a:t>
          </a:r>
          <a:r>
            <a:rPr lang="en-US" sz="1000" b="0" i="0" u="none" strike="noStrike" baseline="0">
              <a:solidFill>
                <a:srgbClr val="333333"/>
              </a:solidFill>
              <a:latin typeface="Verdana"/>
              <a:ea typeface="Verdana"/>
              <a:cs typeface="Verdana"/>
            </a:rPr>
            <a:t>  If the second Forward Direction is positive (equals Injection) the Interruptible Injection Requests will be awarded up to Total Flow is zero. See sheet </a:t>
          </a:r>
          <a:r>
            <a:rPr lang="en-US" sz="1000" b="1" i="0" u="none" strike="noStrike" baseline="0">
              <a:solidFill>
                <a:srgbClr val="333333"/>
              </a:solidFill>
              <a:latin typeface="Verdana"/>
              <a:ea typeface="Verdana"/>
              <a:cs typeface="Verdana"/>
            </a:rPr>
            <a:t>FSD Injection</a:t>
          </a:r>
          <a:r>
            <a:rPr lang="en-US" sz="1000" b="0" i="0" u="none" strike="noStrike" baseline="0">
              <a:solidFill>
                <a:srgbClr val="333333"/>
              </a:solidFill>
              <a:latin typeface="Verdana"/>
              <a:ea typeface="Verdana"/>
              <a:cs typeface="Verdana"/>
            </a:rPr>
            <a:t> for further calculations.</a:t>
          </a:r>
        </a:p>
        <a:p>
          <a:pPr algn="l" rtl="0">
            <a:defRPr sz="1000"/>
          </a:pPr>
          <a:r>
            <a:rPr lang="en-US" sz="1000" b="1" i="0" u="none" strike="noStrike" baseline="0">
              <a:solidFill>
                <a:srgbClr val="0AB14B"/>
              </a:solidFill>
              <a:latin typeface="Verdana"/>
              <a:ea typeface="Verdana"/>
              <a:cs typeface="Verdana"/>
            </a:rPr>
            <a:t>12 &amp; 13</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If the second Forward Direction is neagative (equals Withdrawal) the Interruptible Withdrawal Requests are split in Primary and Secondary Requests.</a:t>
          </a:r>
        </a:p>
        <a:p>
          <a:pPr algn="l" rtl="0">
            <a:defRPr sz="1000"/>
          </a:pPr>
          <a:r>
            <a:rPr lang="en-US" sz="1000" b="1" i="0" u="none" strike="noStrike" baseline="0">
              <a:solidFill>
                <a:srgbClr val="0AB14B"/>
              </a:solidFill>
              <a:latin typeface="Verdana"/>
              <a:ea typeface="Verdana"/>
              <a:cs typeface="Verdana"/>
            </a:rPr>
            <a:t>14</a:t>
          </a:r>
          <a:r>
            <a:rPr lang="en-US" sz="1000" b="0" i="0" u="none" strike="noStrike" baseline="0">
              <a:solidFill>
                <a:srgbClr val="333333"/>
              </a:solidFill>
              <a:latin typeface="Verdana"/>
              <a:ea typeface="Verdana"/>
              <a:cs typeface="Verdana"/>
            </a:rPr>
            <a:t>  The amount of Interruptible Withdrawal Capacity available is equal to the sum of Firm Withdrawal Capacities minus the sum of Firm Withdrawal Requests plus the sum of Injection Requests.</a:t>
          </a:r>
        </a:p>
        <a:p>
          <a:pPr algn="l" rtl="0">
            <a:defRPr sz="1000"/>
          </a:pPr>
          <a:r>
            <a:rPr lang="en-US" sz="1000" b="1" i="0" u="none" strike="noStrike" baseline="0">
              <a:solidFill>
                <a:srgbClr val="0AB14B"/>
              </a:solidFill>
              <a:latin typeface="Verdana"/>
              <a:ea typeface="Verdana"/>
              <a:cs typeface="Verdana"/>
            </a:rPr>
            <a:t>15</a:t>
          </a:r>
          <a:r>
            <a:rPr lang="en-US" sz="1000" b="0" i="0" u="none" strike="noStrike" baseline="0">
              <a:solidFill>
                <a:srgbClr val="333333"/>
              </a:solidFill>
              <a:latin typeface="Verdana"/>
              <a:ea typeface="Verdana"/>
              <a:cs typeface="Verdana"/>
            </a:rPr>
            <a:t>  If the sum of the Primary Interruptible Withdrawal Requests is greater than the Interruptible Withdrawal Capacity Available the Primary Requests will be Partly Scheduled, if not the Primary Requests will be Fully Scheduled.</a:t>
          </a:r>
        </a:p>
        <a:p>
          <a:pPr algn="l" rtl="0">
            <a:defRPr sz="1000"/>
          </a:pPr>
          <a:r>
            <a:rPr lang="en-US" sz="1000" b="1" i="0" u="none" strike="noStrike" baseline="0">
              <a:solidFill>
                <a:srgbClr val="0AB14B"/>
              </a:solidFill>
              <a:latin typeface="Verdana"/>
              <a:ea typeface="Verdana"/>
              <a:cs typeface="Verdana"/>
            </a:rPr>
            <a:t>16</a:t>
          </a:r>
          <a:r>
            <a:rPr lang="en-US" sz="1000" b="0" i="0" u="none" strike="noStrike" baseline="0">
              <a:solidFill>
                <a:srgbClr val="333333"/>
              </a:solidFill>
              <a:latin typeface="Verdana"/>
              <a:ea typeface="Verdana"/>
              <a:cs typeface="Verdana"/>
            </a:rPr>
            <a:t>  If the sum of the Secondary Forward Interruptible Requests is greater than the Interruptible Withdrawal Capacity Available minus the sum of the Primary Forward Interruptible Requests the Secondary Requests will be Partly Scheduled, if not the Secondary Requests will be Fully Scheduled.</a:t>
          </a:r>
        </a:p>
        <a:p>
          <a:pPr algn="l" rtl="0">
            <a:defRPr sz="1000"/>
          </a:pPr>
          <a:r>
            <a:rPr lang="en-US" sz="1000" b="1" i="0" u="none" strike="noStrike" baseline="0">
              <a:solidFill>
                <a:srgbClr val="0AB14B"/>
              </a:solidFill>
              <a:latin typeface="Verdana"/>
              <a:ea typeface="Verdana"/>
              <a:cs typeface="Verdana"/>
            </a:rPr>
            <a:t>17</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The Registered Withdrawal Capacity in case of a Primary Interruptible Withdrawal Request, used in the calculation of the responses.</a:t>
          </a:r>
        </a:p>
        <a:p>
          <a:pPr algn="l" rtl="0">
            <a:defRPr sz="1000"/>
          </a:pPr>
          <a:r>
            <a:rPr lang="en-US" sz="1000" b="1" i="0" u="none" strike="noStrike" baseline="0">
              <a:solidFill>
                <a:srgbClr val="0AB14B"/>
              </a:solidFill>
              <a:latin typeface="Verdana"/>
              <a:ea typeface="Verdana"/>
              <a:cs typeface="Verdana"/>
            </a:rPr>
            <a:t>18</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All Firm Requests are awarded.</a:t>
          </a:r>
        </a:p>
        <a:p>
          <a:pPr algn="l" rtl="0">
            <a:defRPr sz="1000"/>
          </a:pPr>
          <a:r>
            <a:rPr lang="en-US" sz="1000" b="1" i="0" u="none" strike="noStrike" baseline="0">
              <a:solidFill>
                <a:srgbClr val="0AB14B"/>
              </a:solidFill>
              <a:latin typeface="Verdana"/>
              <a:ea typeface="Verdana"/>
              <a:cs typeface="Verdana"/>
            </a:rPr>
            <a:t>19</a:t>
          </a:r>
          <a:r>
            <a:rPr lang="en-US" sz="1000" b="0" i="0" u="none" strike="noStrike" baseline="0">
              <a:solidFill>
                <a:srgbClr val="333333"/>
              </a:solidFill>
              <a:latin typeface="Verdana"/>
              <a:ea typeface="Verdana"/>
              <a:cs typeface="Verdana"/>
            </a:rPr>
            <a:t>  All Interruptible Injection Requests are awarded.  </a:t>
          </a:r>
        </a:p>
        <a:p>
          <a:pPr algn="l" rtl="0">
            <a:defRPr sz="1000"/>
          </a:pPr>
          <a:r>
            <a:rPr lang="en-US" sz="1000" b="1" i="0" u="none" strike="noStrike" baseline="0">
              <a:solidFill>
                <a:srgbClr val="0AB14B"/>
              </a:solidFill>
              <a:latin typeface="Verdana"/>
              <a:ea typeface="Verdana"/>
              <a:cs typeface="Verdana"/>
            </a:rPr>
            <a:t>20 &amp; 21</a:t>
          </a:r>
          <a:r>
            <a:rPr lang="en-US" sz="1000" b="0" i="0" u="none" strike="noStrike" baseline="0">
              <a:solidFill>
                <a:srgbClr val="333333"/>
              </a:solidFill>
              <a:latin typeface="Verdana"/>
              <a:ea typeface="Verdana"/>
              <a:cs typeface="Verdana"/>
            </a:rPr>
            <a:t>  If the Primary Interruptible Withdrawal Requests can only be Partly Scheduled the Requests are awarded based on the Registered Withdrawal Capacities. The can be a multi-cycle calculation.</a:t>
          </a:r>
        </a:p>
        <a:p>
          <a:pPr algn="l" rtl="0">
            <a:defRPr sz="1000"/>
          </a:pPr>
          <a:r>
            <a:rPr lang="en-US" sz="1000" b="1" i="0" u="none" strike="noStrike" baseline="0">
              <a:solidFill>
                <a:srgbClr val="0AB14B"/>
              </a:solidFill>
              <a:latin typeface="Verdana"/>
              <a:ea typeface="Verdana"/>
              <a:cs typeface="Verdana"/>
            </a:rPr>
            <a:t>22</a:t>
          </a:r>
          <a:r>
            <a:rPr lang="en-US" sz="1000" b="0" i="0" u="none" strike="noStrike" baseline="0">
              <a:solidFill>
                <a:srgbClr val="333333"/>
              </a:solidFill>
              <a:latin typeface="Verdana"/>
              <a:ea typeface="Verdana"/>
              <a:cs typeface="Verdana"/>
            </a:rPr>
            <a:t>  If the Secondary Interruptible Withdrawal Requests can only be Partly Scheduled the Requests are awarded pro rata Request.</a:t>
          </a:r>
        </a:p>
        <a:p>
          <a:pPr algn="l" rtl="0">
            <a:defRPr sz="1000"/>
          </a:pPr>
          <a:r>
            <a:rPr lang="en-US" sz="1000" b="1" i="0" u="none" strike="noStrike" baseline="0">
              <a:solidFill>
                <a:srgbClr val="0AB14B"/>
              </a:solidFill>
              <a:latin typeface="Verdana"/>
              <a:ea typeface="Verdana"/>
              <a:cs typeface="Verdana"/>
            </a:rPr>
            <a:t>23</a:t>
          </a:r>
          <a:r>
            <a:rPr lang="en-US" sz="1000" b="0" i="0" u="none" strike="noStrike" baseline="0">
              <a:solidFill>
                <a:srgbClr val="333333"/>
              </a:solidFill>
              <a:latin typeface="Verdana"/>
              <a:ea typeface="Verdana"/>
              <a:cs typeface="Verdana"/>
            </a:rPr>
            <a:t>  The Total Contract Quantity is equal to the the Firm Contract Quantity plus the Interruptible Injection Contract Quantity plus the Primary Interruptible Withdrawal Contract Quantity plus the Secondary Interruptible Withdrawal Contract Quantity.</a:t>
          </a:r>
          <a:r>
            <a:rPr lang="en-US" sz="1000" b="0" i="0" u="none" strike="noStrike" baseline="0">
              <a:solidFill>
                <a:srgbClr val="000000"/>
              </a:solidFill>
              <a:latin typeface="Verdana"/>
              <a:ea typeface="Verdana"/>
              <a:cs typeface="Verdana"/>
            </a:rPr>
            <a:t>  </a:t>
          </a:r>
          <a:endParaRPr lang="en-US" sz="1000" b="1" i="0" u="none" strike="noStrike" baseline="0">
            <a:solidFill>
              <a:srgbClr val="000000"/>
            </a:solidFill>
            <a:latin typeface="Verdana"/>
            <a:ea typeface="Verdana"/>
            <a:cs typeface="Verdana"/>
          </a:endParaRPr>
        </a:p>
        <a:p>
          <a:pPr algn="l" rtl="0">
            <a:defRPr sz="1000"/>
          </a:pPr>
          <a:endParaRPr lang="en-US" sz="1000" b="1" i="0" u="none" strike="noStrike" baseline="0">
            <a:solidFill>
              <a:srgbClr val="000000"/>
            </a:solidFill>
            <a:latin typeface="Verdana"/>
            <a:ea typeface="Verdana"/>
            <a:cs typeface="Verdana"/>
          </a:endParaRPr>
        </a:p>
      </xdr:txBody>
    </xdr:sp>
    <xdr:clientData/>
  </xdr:twoCellAnchor>
  <xdr:twoCellAnchor>
    <xdr:from>
      <xdr:col>0</xdr:col>
      <xdr:colOff>57150</xdr:colOff>
      <xdr:row>0</xdr:row>
      <xdr:rowOff>1352550</xdr:rowOff>
    </xdr:from>
    <xdr:to>
      <xdr:col>0</xdr:col>
      <xdr:colOff>6638925</xdr:colOff>
      <xdr:row>4</xdr:row>
      <xdr:rowOff>133350</xdr:rowOff>
    </xdr:to>
    <xdr:sp macro="" textlink="">
      <xdr:nvSpPr>
        <xdr:cNvPr id="6148" name="Text Box 4"/>
        <xdr:cNvSpPr txBox="1">
          <a:spLocks noChangeArrowheads="1"/>
        </xdr:cNvSpPr>
      </xdr:nvSpPr>
      <xdr:spPr bwMode="auto">
        <a:xfrm>
          <a:off x="57150" y="1352550"/>
          <a:ext cx="6581775" cy="1343025"/>
        </a:xfrm>
        <a:prstGeom prst="rect">
          <a:avLst/>
        </a:prstGeom>
        <a:gradFill rotWithShape="1">
          <a:gsLst>
            <a:gs pos="0">
              <a:srgbClr val="C9ECFF"/>
            </a:gs>
            <a:gs pos="100000">
              <a:srgbClr val="FFFFFF"/>
            </a:gs>
          </a:gsLst>
          <a:lin ang="5400000" scaled="1"/>
        </a:gradFill>
        <a:ln>
          <a:noFill/>
        </a:ln>
        <a:extLst>
          <a:ext uri="{91240B29-F687-4F45-9708-019B960494DF}">
            <a14:hiddenLine xmlns:a14="http://schemas.microsoft.com/office/drawing/2010/main" w="19050">
              <a:solidFill>
                <a:srgbClr xmlns:mc="http://schemas.openxmlformats.org/markup-compatibility/2006" val="808080" mc:Ignorable="a14" a14:legacySpreadsheetColorIndex="23"/>
              </a:solidFill>
              <a:miter lim="800000"/>
              <a:headEnd/>
              <a:tailEnd/>
            </a14:hiddenLine>
          </a:ext>
        </a:extLst>
      </xdr:spPr>
      <xdr:txBody>
        <a:bodyPr vertOverflow="clip" wrap="square" lIns="36576" tIns="22860" rIns="0" bIns="0" anchor="t" upright="1"/>
        <a:lstStyle/>
        <a:p>
          <a:pPr algn="l" rtl="0">
            <a:defRPr sz="1000"/>
          </a:pPr>
          <a:r>
            <a:rPr lang="en-US" sz="1000" b="1" i="0" u="none" strike="noStrike" baseline="0">
              <a:solidFill>
                <a:srgbClr val="333333"/>
              </a:solidFill>
              <a:latin typeface="Verdana"/>
              <a:ea typeface="Verdana"/>
              <a:cs typeface="Verdana"/>
            </a:rPr>
            <a:t>Example Full Storage Day: Total Flow is Withdrawal</a:t>
          </a:r>
        </a:p>
        <a:p>
          <a:pPr algn="l" rtl="0">
            <a:defRPr sz="1000"/>
          </a:pPr>
          <a:r>
            <a:rPr lang="en-US" sz="1000" b="0" i="1" u="none" strike="noStrike" baseline="0">
              <a:solidFill>
                <a:srgbClr val="333333"/>
              </a:solidFill>
              <a:latin typeface="Verdana"/>
              <a:ea typeface="Verdana"/>
              <a:cs typeface="Verdana"/>
            </a:rPr>
            <a:t>The example calculates Firm and Interruptible Requests for hour 08-09 on day D.</a:t>
          </a:r>
        </a:p>
        <a:p>
          <a:pPr algn="l" rtl="0">
            <a:defRPr sz="1000"/>
          </a:pPr>
          <a:r>
            <a:rPr lang="en-US" sz="1000" b="0" i="1" u="none" strike="noStrike" baseline="0">
              <a:solidFill>
                <a:srgbClr val="333333"/>
              </a:solidFill>
              <a:latin typeface="Verdana"/>
              <a:ea typeface="Verdana"/>
              <a:cs typeface="Verdana"/>
            </a:rPr>
            <a:t>The Gas-In-Storage (D 06-07) value is the predicted value used in the D-1 processes, we use one value in this example for reasons of simplification.</a:t>
          </a:r>
        </a:p>
        <a:p>
          <a:pPr algn="l" rtl="0">
            <a:defRPr sz="1000"/>
          </a:pPr>
          <a:r>
            <a:rPr lang="en-US" sz="1000" b="0" i="1" u="none" strike="noStrike" baseline="0">
              <a:solidFill>
                <a:srgbClr val="0AB14B"/>
              </a:solidFill>
              <a:latin typeface="Verdana"/>
              <a:ea typeface="Verdana"/>
              <a:cs typeface="Verdana"/>
            </a:rPr>
            <a:t>In calculations:Withdrawal Capacities &amp; Requests are negative, Injection Requests are positive.</a:t>
          </a:r>
        </a:p>
        <a:p>
          <a:pPr algn="l" rtl="0">
            <a:defRPr sz="1000"/>
          </a:pPr>
          <a:r>
            <a:rPr lang="en-US" sz="1000" b="0" i="1" u="none" strike="noStrike" baseline="0">
              <a:solidFill>
                <a:srgbClr val="0AB14B"/>
              </a:solidFill>
              <a:latin typeface="Verdana"/>
              <a:ea typeface="Verdana"/>
              <a:cs typeface="Verdana"/>
            </a:rPr>
            <a:t>In text: All Requests and Capacities are positive</a:t>
          </a:r>
          <a:endParaRPr lang="en-US" sz="1000" b="0" i="1" u="none" strike="noStrike" baseline="0">
            <a:solidFill>
              <a:srgbClr val="333333"/>
            </a:solidFill>
            <a:latin typeface="Verdana"/>
            <a:ea typeface="Verdana"/>
            <a:cs typeface="Verdana"/>
          </a:endParaRPr>
        </a:p>
        <a:p>
          <a:pPr algn="l" rtl="0">
            <a:defRPr sz="1000"/>
          </a:pPr>
          <a:r>
            <a:rPr lang="en-US" sz="1000" b="0" i="1" u="none" strike="noStrike" baseline="0">
              <a:solidFill>
                <a:srgbClr val="333333"/>
              </a:solidFill>
              <a:latin typeface="Verdana"/>
              <a:ea typeface="Verdana"/>
              <a:cs typeface="Verdana"/>
            </a:rPr>
            <a:t>Maintenance is not taken into account to make calculations more transparant.</a:t>
          </a:r>
        </a:p>
        <a:p>
          <a:pPr algn="l" rtl="0">
            <a:defRPr sz="1000"/>
          </a:pPr>
          <a:r>
            <a:rPr lang="en-US" sz="1000" b="0" i="1" u="none" strike="noStrike" baseline="0">
              <a:solidFill>
                <a:srgbClr val="333333"/>
              </a:solidFill>
              <a:latin typeface="Verdana"/>
              <a:ea typeface="Verdana"/>
              <a:cs typeface="Verdana"/>
            </a:rPr>
            <a:t>Capacities are in kWh/h, Gas-In-Storage, Requests and Contracted Quantities are in kWh.</a:t>
          </a:r>
          <a:endParaRPr lang="en-US" sz="1000" b="1" i="0" u="none" strike="noStrike" baseline="0">
            <a:solidFill>
              <a:srgbClr val="333333"/>
            </a:solidFill>
            <a:latin typeface="Verdana"/>
            <a:ea typeface="Verdana"/>
            <a:cs typeface="Verdana"/>
          </a:endParaRPr>
        </a:p>
        <a:p>
          <a:pPr algn="l" rtl="0">
            <a:defRPr sz="1000"/>
          </a:pPr>
          <a:endParaRPr lang="en-US" sz="1000" b="1" i="0" u="none" strike="noStrike" baseline="0">
            <a:solidFill>
              <a:srgbClr val="333333"/>
            </a:solidFill>
            <a:latin typeface="Verdana"/>
            <a:ea typeface="Verdana"/>
            <a:cs typeface="Verdana"/>
          </a:endParaRPr>
        </a:p>
      </xdr:txBody>
    </xdr:sp>
    <xdr:clientData/>
  </xdr:twoCellAnchor>
  <xdr:twoCellAnchor>
    <xdr:from>
      <xdr:col>6</xdr:col>
      <xdr:colOff>371475</xdr:colOff>
      <xdr:row>0</xdr:row>
      <xdr:rowOff>0</xdr:rowOff>
    </xdr:from>
    <xdr:to>
      <xdr:col>11</xdr:col>
      <xdr:colOff>485775</xdr:colOff>
      <xdr:row>4</xdr:row>
      <xdr:rowOff>9525</xdr:rowOff>
    </xdr:to>
    <xdr:graphicFrame macro="">
      <xdr:nvGraphicFramePr>
        <xdr:cNvPr id="6208"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219075</xdr:colOff>
      <xdr:row>0</xdr:row>
      <xdr:rowOff>0</xdr:rowOff>
    </xdr:from>
    <xdr:to>
      <xdr:col>7</xdr:col>
      <xdr:colOff>381000</xdr:colOff>
      <xdr:row>4</xdr:row>
      <xdr:rowOff>0</xdr:rowOff>
    </xdr:to>
    <xdr:graphicFrame macro="">
      <xdr:nvGraphicFramePr>
        <xdr:cNvPr id="6209"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38100</xdr:colOff>
      <xdr:row>0</xdr:row>
      <xdr:rowOff>76200</xdr:rowOff>
    </xdr:from>
    <xdr:to>
      <xdr:col>4</xdr:col>
      <xdr:colOff>57150</xdr:colOff>
      <xdr:row>2</xdr:row>
      <xdr:rowOff>152400</xdr:rowOff>
    </xdr:to>
    <xdr:pic>
      <xdr:nvPicPr>
        <xdr:cNvPr id="6210" name="Picture 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24650" y="76200"/>
          <a:ext cx="1895475"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3228975</xdr:colOff>
      <xdr:row>0</xdr:row>
      <xdr:rowOff>171450</xdr:rowOff>
    </xdr:from>
    <xdr:to>
      <xdr:col>0</xdr:col>
      <xdr:colOff>5581650</xdr:colOff>
      <xdr:row>0</xdr:row>
      <xdr:rowOff>1266825</xdr:rowOff>
    </xdr:to>
    <xdr:sp macro="" textlink="">
      <xdr:nvSpPr>
        <xdr:cNvPr id="6166" name="Text Box 22"/>
        <xdr:cNvSpPr txBox="1">
          <a:spLocks noChangeArrowheads="1"/>
        </xdr:cNvSpPr>
      </xdr:nvSpPr>
      <xdr:spPr bwMode="auto">
        <a:xfrm>
          <a:off x="3228975" y="171450"/>
          <a:ext cx="2352675" cy="1095375"/>
        </a:xfrm>
        <a:prstGeom prst="rect">
          <a:avLst/>
        </a:prstGeom>
        <a:gradFill rotWithShape="1">
          <a:gsLst>
            <a:gs pos="0">
              <a:srgbClr val="C9ECFF"/>
            </a:gs>
            <a:gs pos="100000">
              <a:srgbClr val="EEF9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1" i="0" u="none" strike="noStrike" baseline="0">
              <a:solidFill>
                <a:srgbClr val="00529B"/>
              </a:solidFill>
              <a:latin typeface="Verdana"/>
              <a:ea typeface="Verdana"/>
              <a:cs typeface="Verdana"/>
            </a:rPr>
            <a:t>Refers to SSSA</a:t>
          </a:r>
          <a:endParaRPr lang="en-US" sz="800" b="0" i="0" u="none" strike="noStrike" baseline="0">
            <a:solidFill>
              <a:srgbClr val="333333"/>
            </a:solidFill>
            <a:latin typeface="Verdana"/>
            <a:ea typeface="Verdana"/>
            <a:cs typeface="Verdana"/>
          </a:endParaRPr>
        </a:p>
        <a:p>
          <a:pPr algn="l" rtl="0">
            <a:defRPr sz="1000"/>
          </a:pPr>
          <a:r>
            <a:rPr lang="en-US" sz="800" b="0" i="0" u="none" strike="noStrike" baseline="0">
              <a:solidFill>
                <a:srgbClr val="00529B"/>
              </a:solidFill>
              <a:latin typeface="Verdana"/>
              <a:ea typeface="Verdana"/>
              <a:cs typeface="Verdana"/>
            </a:rPr>
            <a:t>3. Registered Capacity and Firm Capacity</a:t>
          </a:r>
        </a:p>
        <a:p>
          <a:pPr algn="l" rtl="0">
            <a:defRPr sz="1000"/>
          </a:pPr>
          <a:r>
            <a:rPr lang="en-US" sz="800" b="0" i="0" u="none" strike="noStrike" baseline="0">
              <a:solidFill>
                <a:srgbClr val="00529B"/>
              </a:solidFill>
              <a:latin typeface="Verdana"/>
              <a:ea typeface="Verdana"/>
              <a:cs typeface="Verdana"/>
            </a:rPr>
            <a:t>4. Requests and Requested Quantity</a:t>
          </a:r>
        </a:p>
        <a:p>
          <a:pPr algn="l" rtl="0">
            <a:defRPr sz="1000"/>
          </a:pPr>
          <a:r>
            <a:rPr lang="en-US" sz="800" b="0" i="0" u="none" strike="noStrike" baseline="0">
              <a:solidFill>
                <a:srgbClr val="00529B"/>
              </a:solidFill>
              <a:latin typeface="Verdana"/>
              <a:ea typeface="Verdana"/>
              <a:cs typeface="Verdana"/>
            </a:rPr>
            <a:t>5. Injection and Withdrawal</a:t>
          </a:r>
        </a:p>
        <a:p>
          <a:pPr algn="l" rtl="0">
            <a:defRPr sz="1000"/>
          </a:pPr>
          <a:r>
            <a:rPr lang="en-US" sz="800" b="0" i="0" u="none" strike="noStrike" baseline="0">
              <a:solidFill>
                <a:srgbClr val="00529B"/>
              </a:solidFill>
              <a:latin typeface="Verdana"/>
              <a:ea typeface="Verdana"/>
              <a:cs typeface="Verdana"/>
            </a:rPr>
            <a:t>6. Interruptible Capacity</a:t>
          </a:r>
        </a:p>
        <a:p>
          <a:pPr algn="l" rtl="0">
            <a:defRPr sz="1000"/>
          </a:pPr>
          <a:r>
            <a:rPr lang="en-US" sz="800" b="0" i="0" u="none" strike="noStrike" baseline="0">
              <a:solidFill>
                <a:srgbClr val="00529B"/>
              </a:solidFill>
              <a:latin typeface="Verdana"/>
              <a:ea typeface="Verdana"/>
              <a:cs typeface="Verdana"/>
            </a:rPr>
            <a:t>7. Gas-in-Storage</a:t>
          </a:r>
        </a:p>
        <a:p>
          <a:pPr algn="l" rtl="0">
            <a:defRPr sz="1000"/>
          </a:pPr>
          <a:r>
            <a:rPr lang="en-US" sz="800" b="0" i="0" u="none" strike="noStrike" baseline="0">
              <a:solidFill>
                <a:srgbClr val="00529B"/>
              </a:solidFill>
              <a:latin typeface="Verdana"/>
              <a:ea typeface="Verdana"/>
              <a:cs typeface="Verdana"/>
            </a:rPr>
            <a:t>Schedule C Request Procedure</a:t>
          </a:r>
        </a:p>
        <a:p>
          <a:pPr algn="l" rtl="0">
            <a:defRPr sz="1000"/>
          </a:pPr>
          <a:r>
            <a:rPr lang="en-US" sz="800" b="0" i="0" u="none" strike="noStrike" baseline="0">
              <a:solidFill>
                <a:srgbClr val="00529B"/>
              </a:solidFill>
              <a:latin typeface="Verdana"/>
              <a:ea typeface="Verdana"/>
              <a:cs typeface="Verdana"/>
            </a:rPr>
            <a:t>Schedule E Interruptible Capacity</a:t>
          </a:r>
          <a:endParaRPr lang="en-US" sz="800" b="0" i="0" u="none" strike="noStrike" baseline="0">
            <a:solidFill>
              <a:srgbClr val="333333"/>
            </a:solidFill>
            <a:latin typeface="Verdana"/>
            <a:ea typeface="Verdana"/>
            <a:cs typeface="Verdana"/>
          </a:endParaRPr>
        </a:p>
        <a:p>
          <a:pPr algn="l" rtl="0">
            <a:defRPr sz="1000"/>
          </a:pPr>
          <a:endParaRPr lang="en-US" sz="800" b="0" i="0" u="none" strike="noStrike" baseline="0">
            <a:solidFill>
              <a:srgbClr val="333333"/>
            </a:solidFill>
            <a:latin typeface="Verdana"/>
            <a:ea typeface="Verdana"/>
            <a:cs typeface="Verdana"/>
          </a:endParaRPr>
        </a:p>
      </xdr:txBody>
    </xdr:sp>
    <xdr:clientData/>
  </xdr:twoCellAnchor>
  <xdr:twoCellAnchor editAs="oneCell">
    <xdr:from>
      <xdr:col>0</xdr:col>
      <xdr:colOff>5753100</xdr:colOff>
      <xdr:row>0</xdr:row>
      <xdr:rowOff>600075</xdr:rowOff>
    </xdr:from>
    <xdr:to>
      <xdr:col>0</xdr:col>
      <xdr:colOff>6619875</xdr:colOff>
      <xdr:row>0</xdr:row>
      <xdr:rowOff>1295400</xdr:rowOff>
    </xdr:to>
    <xdr:pic>
      <xdr:nvPicPr>
        <xdr:cNvPr id="6212" name="Picture 2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53100" y="600075"/>
          <a:ext cx="8667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323850</xdr:colOff>
      <xdr:row>0</xdr:row>
      <xdr:rowOff>38100</xdr:rowOff>
    </xdr:from>
    <xdr:to>
      <xdr:col>5</xdr:col>
      <xdr:colOff>800100</xdr:colOff>
      <xdr:row>0</xdr:row>
      <xdr:rowOff>238125</xdr:rowOff>
    </xdr:to>
    <xdr:sp macro="" textlink="">
      <xdr:nvSpPr>
        <xdr:cNvPr id="6169" name="Text Box 25"/>
        <xdr:cNvSpPr txBox="1">
          <a:spLocks noChangeArrowheads="1"/>
        </xdr:cNvSpPr>
      </xdr:nvSpPr>
      <xdr:spPr bwMode="auto">
        <a:xfrm>
          <a:off x="9725025" y="38100"/>
          <a:ext cx="476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en-GB" sz="1000" b="1" i="0" u="none" strike="noStrike" baseline="0">
              <a:solidFill>
                <a:srgbClr val="000000"/>
              </a:solidFill>
              <a:latin typeface="Verdana"/>
              <a:ea typeface="Verdana"/>
              <a:cs typeface="Verdana"/>
            </a:rPr>
            <a:t>SUM</a:t>
          </a:r>
          <a:endParaRPr lang="en-GB"/>
        </a:p>
      </xdr:txBody>
    </xdr:sp>
    <xdr:clientData/>
  </xdr:twoCellAnchor>
  <xdr:twoCellAnchor editAs="oneCell">
    <xdr:from>
      <xdr:col>0</xdr:col>
      <xdr:colOff>0</xdr:colOff>
      <xdr:row>0</xdr:row>
      <xdr:rowOff>0</xdr:rowOff>
    </xdr:from>
    <xdr:to>
      <xdr:col>0</xdr:col>
      <xdr:colOff>2209800</xdr:colOff>
      <xdr:row>0</xdr:row>
      <xdr:rowOff>790575</xdr:rowOff>
    </xdr:to>
    <xdr:pic>
      <xdr:nvPicPr>
        <xdr:cNvPr id="6214" name="Picture 13" descr="H:\logo-2012.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0"/>
          <a:ext cx="22098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57150</xdr:colOff>
      <xdr:row>5</xdr:row>
      <xdr:rowOff>0</xdr:rowOff>
    </xdr:from>
    <xdr:to>
      <xdr:col>0</xdr:col>
      <xdr:colOff>6638925</xdr:colOff>
      <xdr:row>51</xdr:row>
      <xdr:rowOff>57150</xdr:rowOff>
    </xdr:to>
    <xdr:sp macro="" textlink="">
      <xdr:nvSpPr>
        <xdr:cNvPr id="7171" name="Text Box 3"/>
        <xdr:cNvSpPr txBox="1">
          <a:spLocks noChangeArrowheads="1"/>
        </xdr:cNvSpPr>
      </xdr:nvSpPr>
      <xdr:spPr bwMode="auto">
        <a:xfrm>
          <a:off x="57150" y="2733675"/>
          <a:ext cx="6581775" cy="7505700"/>
        </a:xfrm>
        <a:prstGeom prst="rect">
          <a:avLst/>
        </a:prstGeom>
        <a:gradFill rotWithShape="1">
          <a:gsLst>
            <a:gs pos="0">
              <a:srgbClr val="C9ECFF"/>
            </a:gs>
            <a:gs pos="100000">
              <a:srgbClr val="FFFFFF"/>
            </a:gs>
          </a:gsLst>
          <a:lin ang="5400000" scaled="1"/>
        </a:gradFill>
        <a:ln>
          <a:noFill/>
        </a:ln>
        <a:extLst>
          <a:ext uri="{91240B29-F687-4F45-9708-019B960494DF}">
            <a14:hiddenLine xmlns:a14="http://schemas.microsoft.com/office/drawing/2010/main" w="19050">
              <a:solidFill>
                <a:srgbClr xmlns:mc="http://schemas.openxmlformats.org/markup-compatibility/2006" val="808080" mc:Ignorable="a14" a14:legacySpreadsheetColorIndex="23"/>
              </a:solidFill>
              <a:miter lim="800000"/>
              <a:headEnd/>
              <a:tailEnd/>
            </a14:hiddenLine>
          </a:ext>
        </a:extLst>
      </xdr:spPr>
      <xdr:txBody>
        <a:bodyPr vertOverflow="clip" wrap="square" lIns="36576" tIns="22860" rIns="0" bIns="0" anchor="t" upright="1"/>
        <a:lstStyle/>
        <a:p>
          <a:pPr algn="l" rtl="0">
            <a:defRPr sz="1000"/>
          </a:pPr>
          <a:r>
            <a:rPr lang="en-US" sz="1000" b="1" i="0" u="none" strike="noStrike" baseline="0">
              <a:solidFill>
                <a:srgbClr val="333333"/>
              </a:solidFill>
              <a:latin typeface="Verdana"/>
              <a:ea typeface="Verdana"/>
              <a:cs typeface="Verdana"/>
            </a:rPr>
            <a:t>Explanation Calculation</a:t>
          </a:r>
        </a:p>
        <a:p>
          <a:pPr algn="l" rtl="0">
            <a:defRPr sz="1000"/>
          </a:pPr>
          <a:endParaRPr lang="en-US" sz="1000" b="1" i="0" u="none" strike="noStrike" baseline="0">
            <a:solidFill>
              <a:srgbClr val="333333"/>
            </a:solidFill>
            <a:latin typeface="Verdana"/>
            <a:ea typeface="Verdana"/>
            <a:cs typeface="Verdana"/>
          </a:endParaRPr>
        </a:p>
        <a:p>
          <a:pPr algn="l" rtl="0">
            <a:defRPr sz="1000"/>
          </a:pPr>
          <a:r>
            <a:rPr lang="en-US" sz="1000" b="1" i="0" u="none" strike="noStrike" baseline="0">
              <a:solidFill>
                <a:srgbClr val="0AB14B"/>
              </a:solidFill>
              <a:latin typeface="Verdana"/>
              <a:ea typeface="Verdana"/>
              <a:cs typeface="Verdana"/>
            </a:rPr>
            <a:t>1</a:t>
          </a:r>
          <a:r>
            <a:rPr lang="en-US" sz="1000" b="1" i="0" u="none" strike="noStrike" baseline="0">
              <a:solidFill>
                <a:srgbClr val="333333"/>
              </a:solidFill>
              <a:latin typeface="Verdana"/>
              <a:ea typeface="Verdana"/>
              <a:cs typeface="Verdana"/>
            </a:rPr>
            <a:t> </a:t>
          </a:r>
          <a:r>
            <a:rPr lang="en-US" sz="1000" b="0" i="0" u="none" strike="noStrike" baseline="0">
              <a:solidFill>
                <a:srgbClr val="333333"/>
              </a:solidFill>
              <a:latin typeface="Verdana"/>
              <a:ea typeface="Verdana"/>
              <a:cs typeface="Verdana"/>
            </a:rPr>
            <a:t> Firm Injection Capacity = Registered Injection Capacity * ipf * (1- imf - iuf - iof - iff)</a:t>
          </a:r>
        </a:p>
        <a:p>
          <a:pPr algn="l" rtl="0">
            <a:defRPr sz="1000"/>
          </a:pPr>
          <a:r>
            <a:rPr lang="en-US" sz="1000" b="1" i="0" u="none" strike="noStrike" baseline="0">
              <a:solidFill>
                <a:srgbClr val="0AB14B"/>
              </a:solidFill>
              <a:latin typeface="Verdana"/>
              <a:ea typeface="Verdana"/>
              <a:cs typeface="Verdana"/>
            </a:rPr>
            <a:t>2</a:t>
          </a:r>
          <a:r>
            <a:rPr lang="en-US" sz="1000" b="0" i="0" u="none" strike="noStrike" baseline="0">
              <a:solidFill>
                <a:srgbClr val="333333"/>
              </a:solidFill>
              <a:latin typeface="Verdana"/>
              <a:ea typeface="Verdana"/>
              <a:cs typeface="Verdana"/>
            </a:rPr>
            <a:t>  Firm Withdrawal Capacity = Registered Withdrawal Capacity * wpf * (1- wmf - wuf - wof - wff)</a:t>
          </a:r>
        </a:p>
        <a:p>
          <a:pPr algn="l" rtl="0">
            <a:defRPr sz="1000"/>
          </a:pPr>
          <a:r>
            <a:rPr lang="en-US" sz="1000" b="1" i="0" u="none" strike="noStrike" baseline="0">
              <a:solidFill>
                <a:srgbClr val="0AB14B"/>
              </a:solidFill>
              <a:latin typeface="Verdana"/>
              <a:ea typeface="Verdana"/>
              <a:cs typeface="Verdana"/>
            </a:rPr>
            <a:t>3</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The request as submitted by the Customer.</a:t>
          </a:r>
        </a:p>
        <a:p>
          <a:pPr algn="l" rtl="0">
            <a:defRPr sz="1000"/>
          </a:pPr>
          <a:r>
            <a:rPr lang="en-US" sz="1000" b="1" i="0" u="none" strike="noStrike" baseline="0">
              <a:solidFill>
                <a:srgbClr val="0AB14B"/>
              </a:solidFill>
              <a:latin typeface="Verdana"/>
              <a:ea typeface="Verdana"/>
              <a:cs typeface="Verdana"/>
            </a:rPr>
            <a:t>4  </a:t>
          </a:r>
          <a:r>
            <a:rPr lang="en-US" sz="1000" b="0" i="0" u="none" strike="noStrike" baseline="0">
              <a:solidFill>
                <a:srgbClr val="333333"/>
              </a:solidFill>
              <a:latin typeface="Verdana"/>
              <a:ea typeface="Verdana"/>
              <a:cs typeface="Verdana"/>
            </a:rPr>
            <a:t>If a Withdrawal Request causes the Gas In Storage to be negative the Request the part of the Request which causes the negative Gas In Storage will be ignored (Gas In Storage at the start of the hour of request).</a:t>
          </a:r>
        </a:p>
        <a:p>
          <a:pPr algn="l" rtl="0">
            <a:defRPr sz="1000"/>
          </a:pPr>
          <a:r>
            <a:rPr lang="en-US" sz="1000" b="1" i="0" u="none" strike="noStrike" baseline="0">
              <a:solidFill>
                <a:srgbClr val="0AB14B"/>
              </a:solidFill>
              <a:latin typeface="Verdana"/>
              <a:ea typeface="Verdana"/>
              <a:cs typeface="Verdana"/>
            </a:rPr>
            <a:t>5</a:t>
          </a:r>
          <a:r>
            <a:rPr lang="en-US" sz="1000" b="0" i="0" u="none" strike="noStrike" baseline="0">
              <a:solidFill>
                <a:srgbClr val="333333"/>
              </a:solidFill>
              <a:latin typeface="Verdana"/>
              <a:ea typeface="Verdana"/>
              <a:cs typeface="Verdana"/>
            </a:rPr>
            <a:t>  Any further use of Interruptible Space is not allowed, requests are ignored accordingly.</a:t>
          </a:r>
        </a:p>
        <a:p>
          <a:pPr algn="l" rtl="0">
            <a:defRPr sz="1000"/>
          </a:pPr>
          <a:r>
            <a:rPr lang="en-US" sz="1000" b="1" i="0" u="none" strike="noStrike" baseline="0">
              <a:solidFill>
                <a:srgbClr val="0AB14B"/>
              </a:solidFill>
              <a:latin typeface="Verdana"/>
              <a:ea typeface="Verdana"/>
              <a:cs typeface="Verdana"/>
            </a:rPr>
            <a:t>6</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If an Injection Request exceeds the amount of Firm Injection Capacity, the Firm Injection Request equals the Firm Injection Capacity. If not, the Firm Injection Request equals the Injection Request. If a Withdrawal Request exceeds the amount of Firm Withdrawal Capacity, the Firm Withdrawal Request equals the Firm Withdrawal Capacity. If not, the Firm Withdrawal Request equals the Withdrawal Request.</a:t>
          </a:r>
        </a:p>
        <a:p>
          <a:pPr algn="l" rtl="0">
            <a:defRPr sz="1000"/>
          </a:pPr>
          <a:r>
            <a:rPr lang="en-US" sz="1000" b="1" i="0" u="none" strike="noStrike" baseline="0">
              <a:solidFill>
                <a:srgbClr val="0AB14B"/>
              </a:solidFill>
              <a:latin typeface="Verdana"/>
              <a:ea typeface="Verdana"/>
              <a:cs typeface="Verdana"/>
            </a:rPr>
            <a:t>7</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Any Withdrawal Request exceeding the Firm Capacity is a Interruptible Withdrawal Request.</a:t>
          </a:r>
        </a:p>
        <a:p>
          <a:pPr algn="l" rtl="0">
            <a:defRPr sz="1000"/>
          </a:pPr>
          <a:r>
            <a:rPr lang="en-US" sz="1000" b="1" i="0" u="none" strike="noStrike" baseline="0">
              <a:solidFill>
                <a:srgbClr val="0AB14B"/>
              </a:solidFill>
              <a:latin typeface="Verdana"/>
              <a:ea typeface="Verdana"/>
              <a:cs typeface="Verdana"/>
            </a:rPr>
            <a:t>8</a:t>
          </a:r>
          <a:r>
            <a:rPr lang="en-US" sz="1000" b="0" i="0" u="none" strike="noStrike" baseline="0">
              <a:solidFill>
                <a:srgbClr val="333333"/>
              </a:solidFill>
              <a:latin typeface="Verdana"/>
              <a:ea typeface="Verdana"/>
              <a:cs typeface="Verdana"/>
            </a:rPr>
            <a:t>  Any Injection Request exceeding the Firm Capacity is a Interruptible Injection Request.</a:t>
          </a:r>
        </a:p>
        <a:p>
          <a:pPr algn="l" rtl="0">
            <a:defRPr sz="1000"/>
          </a:pPr>
          <a:r>
            <a:rPr lang="en-US" sz="1000" b="1" i="0" u="none" strike="noStrike" baseline="0">
              <a:solidFill>
                <a:srgbClr val="0AB14B"/>
              </a:solidFill>
              <a:latin typeface="Verdana"/>
              <a:ea typeface="Verdana"/>
              <a:cs typeface="Verdana"/>
            </a:rPr>
            <a:t>9</a:t>
          </a:r>
          <a:r>
            <a:rPr lang="en-US" sz="1000" b="0" i="0" u="none" strike="noStrike" baseline="0">
              <a:solidFill>
                <a:srgbClr val="333333"/>
              </a:solidFill>
              <a:latin typeface="Verdana"/>
              <a:ea typeface="Verdana"/>
              <a:cs typeface="Verdana"/>
            </a:rPr>
            <a:t>  The Forward Direction is at first determined by the sum of Firm Injection Requests minus the sum of  Withdrawal Requests. If this Direction is positive (equals Injection) then Mandatory Withdrawal will apply. This is calculated in sheet </a:t>
          </a:r>
          <a:r>
            <a:rPr lang="en-US" sz="1000" b="1" i="0" u="none" strike="noStrike" baseline="0">
              <a:solidFill>
                <a:srgbClr val="333333"/>
              </a:solidFill>
              <a:latin typeface="Verdana"/>
              <a:ea typeface="Verdana"/>
              <a:cs typeface="Verdana"/>
            </a:rPr>
            <a:t>FSD Mandatory Withdrawal</a:t>
          </a:r>
          <a:r>
            <a:rPr lang="en-US" sz="1000" b="0" i="0" u="none" strike="noStrike" baseline="0">
              <a:solidFill>
                <a:srgbClr val="333333"/>
              </a:solidFill>
              <a:latin typeface="Verdana"/>
              <a:ea typeface="Verdana"/>
              <a:cs typeface="Verdana"/>
            </a:rPr>
            <a:t>.</a:t>
          </a:r>
        </a:p>
        <a:p>
          <a:pPr algn="l" rtl="0">
            <a:defRPr sz="1000"/>
          </a:pPr>
          <a:r>
            <a:rPr lang="en-US" sz="1000" b="1" i="0" u="none" strike="noStrike" baseline="0">
              <a:solidFill>
                <a:srgbClr val="0AB14B"/>
              </a:solidFill>
              <a:latin typeface="Verdana"/>
              <a:ea typeface="Verdana"/>
              <a:cs typeface="Verdana"/>
            </a:rPr>
            <a:t>10</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If the initial Forward Direction is negative (equals Withdrawal) the Forward Direction is recalculated by adding the sum of Interruptible Injection Requests to the first Forward Direction.</a:t>
          </a:r>
        </a:p>
        <a:p>
          <a:pPr algn="l" rtl="0">
            <a:defRPr sz="1000"/>
          </a:pPr>
          <a:r>
            <a:rPr lang="en-US" sz="1000" b="1" i="0" u="none" strike="noStrike" baseline="0">
              <a:solidFill>
                <a:srgbClr val="0AB14B"/>
              </a:solidFill>
              <a:latin typeface="Verdana"/>
              <a:ea typeface="Verdana"/>
              <a:cs typeface="Verdana"/>
            </a:rPr>
            <a:t>11</a:t>
          </a:r>
          <a:r>
            <a:rPr lang="en-US" sz="1000" b="0" i="0" u="none" strike="noStrike" baseline="0">
              <a:solidFill>
                <a:srgbClr val="333333"/>
              </a:solidFill>
              <a:latin typeface="Verdana"/>
              <a:ea typeface="Verdana"/>
              <a:cs typeface="Verdana"/>
            </a:rPr>
            <a:t>  If the second Forward Direction is Withdrawal the Interruptible Withdrawal Requests will be awarded similarly to a Normal Day. See sheet </a:t>
          </a:r>
          <a:r>
            <a:rPr lang="en-US" sz="1000" b="1" i="0" u="none" strike="noStrike" baseline="0">
              <a:solidFill>
                <a:srgbClr val="333333"/>
              </a:solidFill>
              <a:latin typeface="Verdana"/>
              <a:ea typeface="Verdana"/>
              <a:cs typeface="Verdana"/>
            </a:rPr>
            <a:t>FSD Withdrawal</a:t>
          </a:r>
          <a:r>
            <a:rPr lang="en-US" sz="1000" b="0" i="0" u="none" strike="noStrike" baseline="0">
              <a:solidFill>
                <a:srgbClr val="333333"/>
              </a:solidFill>
              <a:latin typeface="Verdana"/>
              <a:ea typeface="Verdana"/>
              <a:cs typeface="Verdana"/>
            </a:rPr>
            <a:t> for further calculations.</a:t>
          </a:r>
        </a:p>
        <a:p>
          <a:pPr algn="l" rtl="0">
            <a:defRPr sz="1000"/>
          </a:pPr>
          <a:r>
            <a:rPr lang="en-US" sz="1000" b="1" i="0" u="none" strike="noStrike" baseline="0">
              <a:solidFill>
                <a:srgbClr val="0AB14B"/>
              </a:solidFill>
              <a:latin typeface="Verdana"/>
              <a:ea typeface="Verdana"/>
              <a:cs typeface="Verdana"/>
            </a:rPr>
            <a:t>12 &amp; 13</a:t>
          </a:r>
          <a:r>
            <a:rPr lang="en-US" sz="1000" b="0" i="0" u="none" strike="noStrike" baseline="0">
              <a:solidFill>
                <a:srgbClr val="333333"/>
              </a:solidFill>
              <a:latin typeface="Verdana"/>
              <a:ea typeface="Verdana"/>
              <a:cs typeface="Verdana"/>
            </a:rPr>
            <a:t>  If the second Forward Direction is negative (equals) Injection the Interruptible Withdrawal Requests are split in Primary and Secondary Requests.</a:t>
          </a:r>
        </a:p>
        <a:p>
          <a:pPr algn="l" rtl="0">
            <a:defRPr sz="1000"/>
          </a:pPr>
          <a:r>
            <a:rPr lang="en-US" sz="1000" b="1" i="0" u="none" strike="noStrike" baseline="0">
              <a:solidFill>
                <a:srgbClr val="0AB14B"/>
              </a:solidFill>
              <a:latin typeface="Verdana"/>
              <a:ea typeface="Verdana"/>
              <a:cs typeface="Verdana"/>
            </a:rPr>
            <a:t>14</a:t>
          </a:r>
          <a:r>
            <a:rPr lang="en-US" sz="1000" b="0" i="0" u="none" strike="noStrike" baseline="0">
              <a:solidFill>
                <a:srgbClr val="333333"/>
              </a:solidFill>
              <a:latin typeface="Verdana"/>
              <a:ea typeface="Verdana"/>
              <a:cs typeface="Verdana"/>
            </a:rPr>
            <a:t>  The amount of Interruptible Injection Capacity available is equal to the sum of Withdrawal Requests minus the sum of Firm Injection Requests.</a:t>
          </a:r>
        </a:p>
        <a:p>
          <a:pPr algn="l" rtl="0">
            <a:defRPr sz="1000"/>
          </a:pPr>
          <a:r>
            <a:rPr lang="en-US" sz="1000" b="1" i="0" u="none" strike="noStrike" baseline="0">
              <a:solidFill>
                <a:srgbClr val="0AB14B"/>
              </a:solidFill>
              <a:latin typeface="Verdana"/>
              <a:ea typeface="Verdana"/>
              <a:cs typeface="Verdana"/>
            </a:rPr>
            <a:t>15</a:t>
          </a:r>
          <a:r>
            <a:rPr lang="en-US" sz="1000" b="0" i="0" u="none" strike="noStrike" baseline="0">
              <a:solidFill>
                <a:srgbClr val="333333"/>
              </a:solidFill>
              <a:latin typeface="Verdana"/>
              <a:ea typeface="Verdana"/>
              <a:cs typeface="Verdana"/>
            </a:rPr>
            <a:t>  If the sum of the Primary Interruptible Injection Requests is greater than the Interruptible Injection Capacity Available the Primary Requests will be Partly Awarded, if not the Primary Requests will be Fully Awarded.</a:t>
          </a:r>
        </a:p>
        <a:p>
          <a:pPr algn="l" rtl="0">
            <a:defRPr sz="1000"/>
          </a:pPr>
          <a:r>
            <a:rPr lang="en-US" sz="1000" b="1" i="0" u="none" strike="noStrike" baseline="0">
              <a:solidFill>
                <a:srgbClr val="0AB14B"/>
              </a:solidFill>
              <a:latin typeface="Verdana"/>
              <a:ea typeface="Verdana"/>
              <a:cs typeface="Verdana"/>
            </a:rPr>
            <a:t>16</a:t>
          </a:r>
          <a:r>
            <a:rPr lang="en-US" sz="1000" b="0" i="0" u="none" strike="noStrike" baseline="0">
              <a:solidFill>
                <a:srgbClr val="333333"/>
              </a:solidFill>
              <a:latin typeface="Verdana"/>
              <a:ea typeface="Verdana"/>
              <a:cs typeface="Verdana"/>
            </a:rPr>
            <a:t>  If the sum of the Secondary Interruptible Injection Requests is greater than the Interruptible Injection Capacity available minus the sum of the Primary Interruptible Injection Requests the Secondary Requests will be Partly Awarded, if not the Secondary Requests will be Fully Awarded.</a:t>
          </a:r>
        </a:p>
        <a:p>
          <a:pPr algn="l" rtl="0">
            <a:defRPr sz="1000"/>
          </a:pPr>
          <a:r>
            <a:rPr lang="en-US" sz="1000" b="1" i="0" u="none" strike="noStrike" baseline="0">
              <a:solidFill>
                <a:srgbClr val="0AB14B"/>
              </a:solidFill>
              <a:latin typeface="Verdana"/>
              <a:ea typeface="Verdana"/>
              <a:cs typeface="Verdana"/>
            </a:rPr>
            <a:t>17</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The Registered Injection Capacity in case of a Primary Interruptible Injection Request, used in the calculation of the responses.</a:t>
          </a:r>
        </a:p>
        <a:p>
          <a:pPr algn="l" rtl="0">
            <a:defRPr sz="1000"/>
          </a:pPr>
          <a:r>
            <a:rPr lang="en-US" sz="1000" b="1" i="0" u="none" strike="noStrike" baseline="0">
              <a:solidFill>
                <a:srgbClr val="0AB14B"/>
              </a:solidFill>
              <a:latin typeface="Verdana"/>
              <a:ea typeface="Verdana"/>
              <a:cs typeface="Verdana"/>
            </a:rPr>
            <a:t>18</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All Firm Requests are awarded.</a:t>
          </a:r>
        </a:p>
        <a:p>
          <a:pPr algn="l" rtl="0">
            <a:defRPr sz="1000"/>
          </a:pPr>
          <a:r>
            <a:rPr lang="en-US" sz="1000" b="1" i="0" u="none" strike="noStrike" baseline="0">
              <a:solidFill>
                <a:srgbClr val="0AB14B"/>
              </a:solidFill>
              <a:latin typeface="Verdana"/>
              <a:ea typeface="Verdana"/>
              <a:cs typeface="Verdana"/>
            </a:rPr>
            <a:t>19</a:t>
          </a:r>
          <a:r>
            <a:rPr lang="en-US" sz="1000" b="0" i="0" u="none" strike="noStrike" baseline="0">
              <a:solidFill>
                <a:srgbClr val="333333"/>
              </a:solidFill>
              <a:latin typeface="Verdana"/>
              <a:ea typeface="Verdana"/>
              <a:cs typeface="Verdana"/>
            </a:rPr>
            <a:t>  All Interruptible Withdrawal Requests are awarded.  </a:t>
          </a:r>
        </a:p>
        <a:p>
          <a:pPr algn="l" rtl="0">
            <a:defRPr sz="1000"/>
          </a:pPr>
          <a:r>
            <a:rPr lang="en-US" sz="1000" b="1" i="0" u="none" strike="noStrike" baseline="0">
              <a:solidFill>
                <a:srgbClr val="0AB14B"/>
              </a:solidFill>
              <a:latin typeface="Verdana"/>
              <a:ea typeface="Verdana"/>
              <a:cs typeface="Verdana"/>
            </a:rPr>
            <a:t>20 &amp; 21</a:t>
          </a:r>
          <a:r>
            <a:rPr lang="en-US" sz="1000" b="0" i="0" u="none" strike="noStrike" baseline="0">
              <a:solidFill>
                <a:srgbClr val="333333"/>
              </a:solidFill>
              <a:latin typeface="Verdana"/>
              <a:ea typeface="Verdana"/>
              <a:cs typeface="Verdana"/>
            </a:rPr>
            <a:t>  If the Primary Interruptible Injection Requests can only be Partly Scheduled the Requests are awarded based on the Registered Injection Capacities. The can be a multi-cycle calculation (maximum number of cycles is the number of Primary Interruptible Injection Requests).</a:t>
          </a:r>
        </a:p>
        <a:p>
          <a:pPr algn="l" rtl="0">
            <a:defRPr sz="1000"/>
          </a:pPr>
          <a:r>
            <a:rPr lang="en-US" sz="1000" b="1" i="0" u="none" strike="noStrike" baseline="0">
              <a:solidFill>
                <a:srgbClr val="0AB14B"/>
              </a:solidFill>
              <a:latin typeface="Verdana"/>
              <a:ea typeface="Verdana"/>
              <a:cs typeface="Verdana"/>
            </a:rPr>
            <a:t>22</a:t>
          </a:r>
          <a:r>
            <a:rPr lang="en-US" sz="1000" b="0" i="0" u="none" strike="noStrike" baseline="0">
              <a:solidFill>
                <a:srgbClr val="333333"/>
              </a:solidFill>
              <a:latin typeface="Verdana"/>
              <a:ea typeface="Verdana"/>
              <a:cs typeface="Verdana"/>
            </a:rPr>
            <a:t>  If the Secondary Interruptible Injection Requests can only be Partly Scheduled the Requests are awarded pro rata Request.</a:t>
          </a:r>
        </a:p>
        <a:p>
          <a:pPr algn="l" rtl="0">
            <a:defRPr sz="1000"/>
          </a:pPr>
          <a:r>
            <a:rPr lang="en-US" sz="1000" b="1" i="0" u="none" strike="noStrike" baseline="0">
              <a:solidFill>
                <a:srgbClr val="0AB14B"/>
              </a:solidFill>
              <a:latin typeface="Verdana"/>
              <a:ea typeface="Verdana"/>
              <a:cs typeface="Verdana"/>
            </a:rPr>
            <a:t>23</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The Total Contract Quantity is equal to the the Firm Contract Quantity plus the Interruptible Withdrawal Contract Quantity plus the Primary Interruptible Injection Contract Quantity plus the Secondary Interruptible Injection Contract Quantity.  </a:t>
          </a:r>
          <a:endParaRPr lang="en-US" sz="1000" b="1" i="0" u="none" strike="noStrike" baseline="0">
            <a:solidFill>
              <a:srgbClr val="333333"/>
            </a:solidFill>
            <a:latin typeface="Verdana"/>
            <a:ea typeface="Verdana"/>
            <a:cs typeface="Verdana"/>
          </a:endParaRPr>
        </a:p>
        <a:p>
          <a:pPr algn="l" rtl="0">
            <a:defRPr sz="1000"/>
          </a:pPr>
          <a:endParaRPr lang="en-US" sz="1000" b="1" i="0" u="none" strike="noStrike" baseline="0">
            <a:solidFill>
              <a:srgbClr val="333333"/>
            </a:solidFill>
            <a:latin typeface="Verdana"/>
            <a:ea typeface="Verdana"/>
            <a:cs typeface="Verdana"/>
          </a:endParaRPr>
        </a:p>
      </xdr:txBody>
    </xdr:sp>
    <xdr:clientData/>
  </xdr:twoCellAnchor>
  <xdr:twoCellAnchor>
    <xdr:from>
      <xdr:col>0</xdr:col>
      <xdr:colOff>57150</xdr:colOff>
      <xdr:row>0</xdr:row>
      <xdr:rowOff>1362075</xdr:rowOff>
    </xdr:from>
    <xdr:to>
      <xdr:col>0</xdr:col>
      <xdr:colOff>6638925</xdr:colOff>
      <xdr:row>4</xdr:row>
      <xdr:rowOff>133350</xdr:rowOff>
    </xdr:to>
    <xdr:sp macro="" textlink="">
      <xdr:nvSpPr>
        <xdr:cNvPr id="7173" name="Text Box 5"/>
        <xdr:cNvSpPr txBox="1">
          <a:spLocks noChangeArrowheads="1"/>
        </xdr:cNvSpPr>
      </xdr:nvSpPr>
      <xdr:spPr bwMode="auto">
        <a:xfrm>
          <a:off x="57150" y="1362075"/>
          <a:ext cx="6581775" cy="1333500"/>
        </a:xfrm>
        <a:prstGeom prst="rect">
          <a:avLst/>
        </a:prstGeom>
        <a:gradFill rotWithShape="1">
          <a:gsLst>
            <a:gs pos="0">
              <a:srgbClr val="C9ECFF"/>
            </a:gs>
            <a:gs pos="100000">
              <a:srgbClr val="FFFFFF"/>
            </a:gs>
          </a:gsLst>
          <a:lin ang="5400000" scaled="1"/>
        </a:gradFill>
        <a:ln>
          <a:noFill/>
        </a:ln>
        <a:extLst>
          <a:ext uri="{91240B29-F687-4F45-9708-019B960494DF}">
            <a14:hiddenLine xmlns:a14="http://schemas.microsoft.com/office/drawing/2010/main" w="19050">
              <a:solidFill>
                <a:srgbClr xmlns:mc="http://schemas.openxmlformats.org/markup-compatibility/2006" val="808080" mc:Ignorable="a14" a14:legacySpreadsheetColorIndex="23"/>
              </a:solidFill>
              <a:miter lim="800000"/>
              <a:headEnd/>
              <a:tailEnd/>
            </a14:hiddenLine>
          </a:ext>
        </a:extLst>
      </xdr:spPr>
      <xdr:txBody>
        <a:bodyPr vertOverflow="clip" wrap="square" lIns="36576" tIns="22860" rIns="0" bIns="0" anchor="t" upright="1"/>
        <a:lstStyle/>
        <a:p>
          <a:pPr algn="l" rtl="0">
            <a:defRPr sz="1000"/>
          </a:pPr>
          <a:r>
            <a:rPr lang="en-US" sz="1000" b="1" i="0" u="none" strike="noStrike" baseline="0">
              <a:solidFill>
                <a:srgbClr val="333333"/>
              </a:solidFill>
              <a:latin typeface="Verdana"/>
              <a:ea typeface="Verdana"/>
              <a:cs typeface="Verdana"/>
            </a:rPr>
            <a:t>Example Full Storage Day: Total Flow is zero, no Mandatory Withdrawal</a:t>
          </a:r>
        </a:p>
        <a:p>
          <a:pPr algn="l" rtl="0">
            <a:defRPr sz="1000"/>
          </a:pPr>
          <a:r>
            <a:rPr lang="en-US" sz="1000" b="0" i="1" u="none" strike="noStrike" baseline="0">
              <a:solidFill>
                <a:srgbClr val="333333"/>
              </a:solidFill>
              <a:latin typeface="Verdana"/>
              <a:ea typeface="Verdana"/>
              <a:cs typeface="Verdana"/>
            </a:rPr>
            <a:t>The example calculates Firm and Interruptible Requests for hour 08:00-09:00 on day D.</a:t>
          </a:r>
        </a:p>
        <a:p>
          <a:pPr algn="l" rtl="0">
            <a:defRPr sz="1000"/>
          </a:pPr>
          <a:r>
            <a:rPr lang="en-US" sz="1000" b="0" i="1" u="none" strike="noStrike" baseline="0">
              <a:solidFill>
                <a:srgbClr val="333333"/>
              </a:solidFill>
              <a:latin typeface="Verdana"/>
              <a:ea typeface="Verdana"/>
              <a:cs typeface="Verdana"/>
            </a:rPr>
            <a:t>The Gas-In-Storage (D 06-07) value is the predicted value used in the D-1 processes, we use one value in this example for reasons of simplification.</a:t>
          </a:r>
        </a:p>
        <a:p>
          <a:pPr algn="l" rtl="0">
            <a:defRPr sz="1000"/>
          </a:pPr>
          <a:r>
            <a:rPr lang="en-US" sz="1000" b="0" i="1" u="none" strike="noStrike" baseline="0">
              <a:solidFill>
                <a:srgbClr val="0AB14B"/>
              </a:solidFill>
              <a:latin typeface="Verdana"/>
              <a:ea typeface="Verdana"/>
              <a:cs typeface="Verdana"/>
            </a:rPr>
            <a:t>In calculations:Withdrawal Capacities &amp; Requests are negative, Injection Requests are positive.</a:t>
          </a:r>
        </a:p>
        <a:p>
          <a:pPr algn="l" rtl="0">
            <a:defRPr sz="1000"/>
          </a:pPr>
          <a:r>
            <a:rPr lang="en-US" sz="1000" b="0" i="1" u="none" strike="noStrike" baseline="0">
              <a:solidFill>
                <a:srgbClr val="0AB14B"/>
              </a:solidFill>
              <a:latin typeface="Verdana"/>
              <a:ea typeface="Verdana"/>
              <a:cs typeface="Verdana"/>
            </a:rPr>
            <a:t>In text: All Requests and Capacities are positive</a:t>
          </a:r>
          <a:endParaRPr lang="en-US" sz="1000" b="0" i="1" u="none" strike="noStrike" baseline="0">
            <a:solidFill>
              <a:srgbClr val="333333"/>
            </a:solidFill>
            <a:latin typeface="Verdana"/>
            <a:ea typeface="Verdana"/>
            <a:cs typeface="Verdana"/>
          </a:endParaRPr>
        </a:p>
        <a:p>
          <a:pPr algn="l" rtl="0">
            <a:defRPr sz="1000"/>
          </a:pPr>
          <a:r>
            <a:rPr lang="en-US" sz="1000" b="0" i="1" u="none" strike="noStrike" baseline="0">
              <a:solidFill>
                <a:srgbClr val="333333"/>
              </a:solidFill>
              <a:latin typeface="Verdana"/>
              <a:ea typeface="Verdana"/>
              <a:cs typeface="Verdana"/>
            </a:rPr>
            <a:t>Maintenance is not taken into account to make calculations more transparant.</a:t>
          </a:r>
          <a:endParaRPr lang="en-US" sz="1000" b="1" i="0" u="none" strike="noStrike" baseline="0">
            <a:solidFill>
              <a:srgbClr val="333333"/>
            </a:solidFill>
            <a:latin typeface="Verdana"/>
            <a:ea typeface="Verdana"/>
            <a:cs typeface="Verdana"/>
          </a:endParaRPr>
        </a:p>
        <a:p>
          <a:pPr algn="l" rtl="0">
            <a:defRPr sz="1000"/>
          </a:pPr>
          <a:r>
            <a:rPr lang="en-US" sz="1000" b="0" i="1" u="none" strike="noStrike" baseline="0">
              <a:solidFill>
                <a:srgbClr val="333333"/>
              </a:solidFill>
              <a:latin typeface="Verdana"/>
              <a:ea typeface="Verdana"/>
              <a:cs typeface="Verdana"/>
            </a:rPr>
            <a:t>Capacities are in kWh/h, Gas-In-Storage, Requests and Contracted Quantities are in kWh.</a:t>
          </a:r>
        </a:p>
      </xdr:txBody>
    </xdr:sp>
    <xdr:clientData/>
  </xdr:twoCellAnchor>
  <xdr:twoCellAnchor>
    <xdr:from>
      <xdr:col>5</xdr:col>
      <xdr:colOff>828675</xdr:colOff>
      <xdr:row>0</xdr:row>
      <xdr:rowOff>0</xdr:rowOff>
    </xdr:from>
    <xdr:to>
      <xdr:col>11</xdr:col>
      <xdr:colOff>304800</xdr:colOff>
      <xdr:row>4</xdr:row>
      <xdr:rowOff>28575</xdr:rowOff>
    </xdr:to>
    <xdr:graphicFrame macro="">
      <xdr:nvGraphicFramePr>
        <xdr:cNvPr id="722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819150</xdr:colOff>
      <xdr:row>0</xdr:row>
      <xdr:rowOff>0</xdr:rowOff>
    </xdr:from>
    <xdr:to>
      <xdr:col>7</xdr:col>
      <xdr:colOff>371475</xdr:colOff>
      <xdr:row>4</xdr:row>
      <xdr:rowOff>0</xdr:rowOff>
    </xdr:to>
    <xdr:graphicFrame macro="">
      <xdr:nvGraphicFramePr>
        <xdr:cNvPr id="7227"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3</xdr:col>
      <xdr:colOff>828675</xdr:colOff>
      <xdr:row>2</xdr:row>
      <xdr:rowOff>95250</xdr:rowOff>
    </xdr:to>
    <xdr:pic>
      <xdr:nvPicPr>
        <xdr:cNvPr id="7228" name="Picture 1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86550" y="47625"/>
          <a:ext cx="1866900"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3228975</xdr:colOff>
      <xdr:row>0</xdr:row>
      <xdr:rowOff>171450</xdr:rowOff>
    </xdr:from>
    <xdr:to>
      <xdr:col>0</xdr:col>
      <xdr:colOff>5581650</xdr:colOff>
      <xdr:row>0</xdr:row>
      <xdr:rowOff>1266825</xdr:rowOff>
    </xdr:to>
    <xdr:sp macro="" textlink="">
      <xdr:nvSpPr>
        <xdr:cNvPr id="7184" name="Text Box 16"/>
        <xdr:cNvSpPr txBox="1">
          <a:spLocks noChangeArrowheads="1"/>
        </xdr:cNvSpPr>
      </xdr:nvSpPr>
      <xdr:spPr bwMode="auto">
        <a:xfrm>
          <a:off x="3228975" y="171450"/>
          <a:ext cx="2352675" cy="1095375"/>
        </a:xfrm>
        <a:prstGeom prst="rect">
          <a:avLst/>
        </a:prstGeom>
        <a:gradFill rotWithShape="1">
          <a:gsLst>
            <a:gs pos="0">
              <a:srgbClr val="C9ECFF"/>
            </a:gs>
            <a:gs pos="100000">
              <a:srgbClr val="EEF9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1" i="0" u="none" strike="noStrike" baseline="0">
              <a:solidFill>
                <a:srgbClr val="00529B"/>
              </a:solidFill>
              <a:latin typeface="Verdana"/>
              <a:ea typeface="Verdana"/>
              <a:cs typeface="Verdana"/>
            </a:rPr>
            <a:t>Refers to SSSA</a:t>
          </a:r>
          <a:endParaRPr lang="en-US" sz="800" b="0" i="0" u="none" strike="noStrike" baseline="0">
            <a:solidFill>
              <a:srgbClr val="333333"/>
            </a:solidFill>
            <a:latin typeface="Verdana"/>
            <a:ea typeface="Verdana"/>
            <a:cs typeface="Verdana"/>
          </a:endParaRPr>
        </a:p>
        <a:p>
          <a:pPr algn="l" rtl="0">
            <a:defRPr sz="1000"/>
          </a:pPr>
          <a:r>
            <a:rPr lang="en-US" sz="800" b="0" i="0" u="none" strike="noStrike" baseline="0">
              <a:solidFill>
                <a:srgbClr val="00529B"/>
              </a:solidFill>
              <a:latin typeface="Verdana"/>
              <a:ea typeface="Verdana"/>
              <a:cs typeface="Verdana"/>
            </a:rPr>
            <a:t>3. Registered Capacity and Firm Capacity</a:t>
          </a:r>
        </a:p>
        <a:p>
          <a:pPr algn="l" rtl="0">
            <a:defRPr sz="1000"/>
          </a:pPr>
          <a:r>
            <a:rPr lang="en-US" sz="800" b="0" i="0" u="none" strike="noStrike" baseline="0">
              <a:solidFill>
                <a:srgbClr val="00529B"/>
              </a:solidFill>
              <a:latin typeface="Verdana"/>
              <a:ea typeface="Verdana"/>
              <a:cs typeface="Verdana"/>
            </a:rPr>
            <a:t>4. Requests and Requested Quantity</a:t>
          </a:r>
        </a:p>
        <a:p>
          <a:pPr algn="l" rtl="0">
            <a:defRPr sz="1000"/>
          </a:pPr>
          <a:r>
            <a:rPr lang="en-US" sz="800" b="0" i="0" u="none" strike="noStrike" baseline="0">
              <a:solidFill>
                <a:srgbClr val="00529B"/>
              </a:solidFill>
              <a:latin typeface="Verdana"/>
              <a:ea typeface="Verdana"/>
              <a:cs typeface="Verdana"/>
            </a:rPr>
            <a:t>5. Injection and Withdrawal</a:t>
          </a:r>
        </a:p>
        <a:p>
          <a:pPr algn="l" rtl="0">
            <a:defRPr sz="1000"/>
          </a:pPr>
          <a:r>
            <a:rPr lang="en-US" sz="800" b="0" i="0" u="none" strike="noStrike" baseline="0">
              <a:solidFill>
                <a:srgbClr val="00529B"/>
              </a:solidFill>
              <a:latin typeface="Verdana"/>
              <a:ea typeface="Verdana"/>
              <a:cs typeface="Verdana"/>
            </a:rPr>
            <a:t>6. Interruptible Capacity</a:t>
          </a:r>
        </a:p>
        <a:p>
          <a:pPr algn="l" rtl="0">
            <a:defRPr sz="1000"/>
          </a:pPr>
          <a:r>
            <a:rPr lang="en-US" sz="800" b="0" i="0" u="none" strike="noStrike" baseline="0">
              <a:solidFill>
                <a:srgbClr val="00529B"/>
              </a:solidFill>
              <a:latin typeface="Verdana"/>
              <a:ea typeface="Verdana"/>
              <a:cs typeface="Verdana"/>
            </a:rPr>
            <a:t>7. Gas-in-Storage</a:t>
          </a:r>
        </a:p>
        <a:p>
          <a:pPr algn="l" rtl="0">
            <a:defRPr sz="1000"/>
          </a:pPr>
          <a:r>
            <a:rPr lang="en-US" sz="800" b="0" i="0" u="none" strike="noStrike" baseline="0">
              <a:solidFill>
                <a:srgbClr val="00529B"/>
              </a:solidFill>
              <a:latin typeface="Verdana"/>
              <a:ea typeface="Verdana"/>
              <a:cs typeface="Verdana"/>
            </a:rPr>
            <a:t>Schedule C Request Procedure</a:t>
          </a:r>
        </a:p>
        <a:p>
          <a:pPr algn="l" rtl="0">
            <a:defRPr sz="1000"/>
          </a:pPr>
          <a:r>
            <a:rPr lang="en-US" sz="800" b="0" i="0" u="none" strike="noStrike" baseline="0">
              <a:solidFill>
                <a:srgbClr val="00529B"/>
              </a:solidFill>
              <a:latin typeface="Verdana"/>
              <a:ea typeface="Verdana"/>
              <a:cs typeface="Verdana"/>
            </a:rPr>
            <a:t>Schedule E Interruptible Capacity</a:t>
          </a:r>
          <a:endParaRPr lang="en-US" sz="800" b="0" i="0" u="none" strike="noStrike" baseline="0">
            <a:solidFill>
              <a:srgbClr val="333333"/>
            </a:solidFill>
            <a:latin typeface="Verdana"/>
            <a:ea typeface="Verdana"/>
            <a:cs typeface="Verdana"/>
          </a:endParaRPr>
        </a:p>
        <a:p>
          <a:pPr algn="l" rtl="0">
            <a:defRPr sz="1000"/>
          </a:pPr>
          <a:endParaRPr lang="en-US" sz="800" b="0" i="0" u="none" strike="noStrike" baseline="0">
            <a:solidFill>
              <a:srgbClr val="333333"/>
            </a:solidFill>
            <a:latin typeface="Verdana"/>
            <a:ea typeface="Verdana"/>
            <a:cs typeface="Verdana"/>
          </a:endParaRPr>
        </a:p>
      </xdr:txBody>
    </xdr:sp>
    <xdr:clientData/>
  </xdr:twoCellAnchor>
  <xdr:twoCellAnchor editAs="oneCell">
    <xdr:from>
      <xdr:col>0</xdr:col>
      <xdr:colOff>5743575</xdr:colOff>
      <xdr:row>0</xdr:row>
      <xdr:rowOff>609600</xdr:rowOff>
    </xdr:from>
    <xdr:to>
      <xdr:col>0</xdr:col>
      <xdr:colOff>6610350</xdr:colOff>
      <xdr:row>0</xdr:row>
      <xdr:rowOff>1304925</xdr:rowOff>
    </xdr:to>
    <xdr:pic>
      <xdr:nvPicPr>
        <xdr:cNvPr id="7230" name="Picture 1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43575" y="609600"/>
          <a:ext cx="8667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104775</xdr:colOff>
      <xdr:row>0</xdr:row>
      <xdr:rowOff>28575</xdr:rowOff>
    </xdr:from>
    <xdr:to>
      <xdr:col>5</xdr:col>
      <xdr:colOff>581025</xdr:colOff>
      <xdr:row>0</xdr:row>
      <xdr:rowOff>228600</xdr:rowOff>
    </xdr:to>
    <xdr:sp macro="" textlink="">
      <xdr:nvSpPr>
        <xdr:cNvPr id="7187" name="Text Box 19"/>
        <xdr:cNvSpPr txBox="1">
          <a:spLocks noChangeArrowheads="1"/>
        </xdr:cNvSpPr>
      </xdr:nvSpPr>
      <xdr:spPr bwMode="auto">
        <a:xfrm>
          <a:off x="9505950" y="28575"/>
          <a:ext cx="476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en-GB" sz="1000" b="1" i="0" u="none" strike="noStrike" baseline="0">
              <a:solidFill>
                <a:srgbClr val="000000"/>
              </a:solidFill>
              <a:latin typeface="Verdana"/>
              <a:ea typeface="Verdana"/>
              <a:cs typeface="Verdana"/>
            </a:rPr>
            <a:t>SUM</a:t>
          </a:r>
          <a:endParaRPr lang="en-GB"/>
        </a:p>
      </xdr:txBody>
    </xdr:sp>
    <xdr:clientData/>
  </xdr:twoCellAnchor>
  <xdr:twoCellAnchor editAs="oneCell">
    <xdr:from>
      <xdr:col>0</xdr:col>
      <xdr:colOff>0</xdr:colOff>
      <xdr:row>0</xdr:row>
      <xdr:rowOff>0</xdr:rowOff>
    </xdr:from>
    <xdr:to>
      <xdr:col>0</xdr:col>
      <xdr:colOff>2209800</xdr:colOff>
      <xdr:row>0</xdr:row>
      <xdr:rowOff>790575</xdr:rowOff>
    </xdr:to>
    <xdr:pic>
      <xdr:nvPicPr>
        <xdr:cNvPr id="7232" name="Picture 13" descr="H:\logo-2012.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0"/>
          <a:ext cx="22098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57150</xdr:colOff>
      <xdr:row>5</xdr:row>
      <xdr:rowOff>0</xdr:rowOff>
    </xdr:from>
    <xdr:to>
      <xdr:col>0</xdr:col>
      <xdr:colOff>6638925</xdr:colOff>
      <xdr:row>50</xdr:row>
      <xdr:rowOff>0</xdr:rowOff>
    </xdr:to>
    <xdr:sp macro="" textlink="">
      <xdr:nvSpPr>
        <xdr:cNvPr id="4100" name="Text Box 4"/>
        <xdr:cNvSpPr txBox="1">
          <a:spLocks noChangeArrowheads="1"/>
        </xdr:cNvSpPr>
      </xdr:nvSpPr>
      <xdr:spPr bwMode="auto">
        <a:xfrm>
          <a:off x="57150" y="2733675"/>
          <a:ext cx="6581775" cy="7286625"/>
        </a:xfrm>
        <a:prstGeom prst="rect">
          <a:avLst/>
        </a:prstGeom>
        <a:gradFill rotWithShape="1">
          <a:gsLst>
            <a:gs pos="0">
              <a:srgbClr val="C9ECFF"/>
            </a:gs>
            <a:gs pos="100000">
              <a:srgbClr val="FFFFFF"/>
            </a:gs>
          </a:gsLst>
          <a:lin ang="5400000" scaled="1"/>
        </a:gradFill>
        <a:ln>
          <a:noFill/>
        </a:ln>
        <a:extLst>
          <a:ext uri="{91240B29-F687-4F45-9708-019B960494DF}">
            <a14:hiddenLine xmlns:a14="http://schemas.microsoft.com/office/drawing/2010/main" w="19050">
              <a:solidFill>
                <a:srgbClr xmlns:mc="http://schemas.openxmlformats.org/markup-compatibility/2006" val="808080" mc:Ignorable="a14" a14:legacySpreadsheetColorIndex="23"/>
              </a:solidFill>
              <a:miter lim="800000"/>
              <a:headEnd/>
              <a:tailEnd/>
            </a14:hiddenLine>
          </a:ext>
        </a:extLst>
      </xdr:spPr>
      <xdr:txBody>
        <a:bodyPr vertOverflow="clip" wrap="square" lIns="36576" tIns="22860" rIns="0" bIns="0" anchor="t" upright="1"/>
        <a:lstStyle/>
        <a:p>
          <a:pPr algn="l" rtl="0">
            <a:defRPr sz="1000"/>
          </a:pPr>
          <a:r>
            <a:rPr lang="en-US" sz="1000" b="1" i="0" u="none" strike="noStrike" baseline="0">
              <a:solidFill>
                <a:srgbClr val="333333"/>
              </a:solidFill>
              <a:latin typeface="Verdana"/>
              <a:ea typeface="Verdana"/>
              <a:cs typeface="Verdana"/>
            </a:rPr>
            <a:t>Explanation Calculation</a:t>
          </a:r>
        </a:p>
        <a:p>
          <a:pPr algn="l" rtl="0">
            <a:defRPr sz="1000"/>
          </a:pPr>
          <a:endParaRPr lang="en-US" sz="1000" b="1" i="0" u="none" strike="noStrike" baseline="0">
            <a:solidFill>
              <a:srgbClr val="333333"/>
            </a:solidFill>
            <a:latin typeface="Verdana"/>
            <a:ea typeface="Verdana"/>
            <a:cs typeface="Verdana"/>
          </a:endParaRPr>
        </a:p>
        <a:p>
          <a:pPr algn="l" rtl="0">
            <a:defRPr sz="1000"/>
          </a:pPr>
          <a:r>
            <a:rPr lang="en-US" sz="1000" b="1" i="0" u="none" strike="noStrike" baseline="0">
              <a:solidFill>
                <a:srgbClr val="0AB14B"/>
              </a:solidFill>
              <a:latin typeface="Verdana"/>
              <a:ea typeface="Verdana"/>
              <a:cs typeface="Verdana"/>
            </a:rPr>
            <a:t>1</a:t>
          </a:r>
          <a:r>
            <a:rPr lang="en-US" sz="1000" b="1" i="0" u="none" strike="noStrike" baseline="0">
              <a:solidFill>
                <a:srgbClr val="333333"/>
              </a:solidFill>
              <a:latin typeface="Verdana"/>
              <a:ea typeface="Verdana"/>
              <a:cs typeface="Verdana"/>
            </a:rPr>
            <a:t> </a:t>
          </a:r>
          <a:r>
            <a:rPr lang="en-US" sz="1000" b="0" i="0" u="none" strike="noStrike" baseline="0">
              <a:solidFill>
                <a:srgbClr val="333333"/>
              </a:solidFill>
              <a:latin typeface="Verdana"/>
              <a:ea typeface="Verdana"/>
              <a:cs typeface="Verdana"/>
            </a:rPr>
            <a:t> Firm Injection Capacity = Registered Injection Capacity * ipf * (1- imf - iuf - iof - iff)</a:t>
          </a:r>
        </a:p>
        <a:p>
          <a:pPr algn="l" rtl="0">
            <a:defRPr sz="1000"/>
          </a:pPr>
          <a:r>
            <a:rPr lang="en-US" sz="1000" b="1" i="0" u="none" strike="noStrike" baseline="0">
              <a:solidFill>
                <a:srgbClr val="0AB14B"/>
              </a:solidFill>
              <a:latin typeface="Verdana"/>
              <a:ea typeface="Verdana"/>
              <a:cs typeface="Verdana"/>
            </a:rPr>
            <a:t>2</a:t>
          </a:r>
          <a:r>
            <a:rPr lang="en-US" sz="1000" b="0" i="0" u="none" strike="noStrike" baseline="0">
              <a:solidFill>
                <a:srgbClr val="333333"/>
              </a:solidFill>
              <a:latin typeface="Verdana"/>
              <a:ea typeface="Verdana"/>
              <a:cs typeface="Verdana"/>
            </a:rPr>
            <a:t>  Firm Withdrawal Capacity = Registered Withdrawal Capacity * wpf * (1- wmf - wuf - wof - wff)</a:t>
          </a:r>
        </a:p>
        <a:p>
          <a:pPr algn="l" rtl="0">
            <a:defRPr sz="1000"/>
          </a:pPr>
          <a:r>
            <a:rPr lang="en-US" sz="1000" b="1" i="0" u="none" strike="noStrike" baseline="0">
              <a:solidFill>
                <a:srgbClr val="0AB14B"/>
              </a:solidFill>
              <a:latin typeface="Verdana"/>
              <a:ea typeface="Verdana"/>
              <a:cs typeface="Verdana"/>
            </a:rPr>
            <a:t>3</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The request as submitted by the Customer.</a:t>
          </a:r>
        </a:p>
        <a:p>
          <a:pPr algn="l" rtl="0">
            <a:defRPr sz="1000"/>
          </a:pPr>
          <a:r>
            <a:rPr lang="en-US" sz="1000" b="1" i="0" u="none" strike="noStrike" baseline="0">
              <a:solidFill>
                <a:srgbClr val="0AB14B"/>
              </a:solidFill>
              <a:latin typeface="Verdana"/>
              <a:ea typeface="Verdana"/>
              <a:cs typeface="Verdana"/>
            </a:rPr>
            <a:t>4  </a:t>
          </a:r>
          <a:r>
            <a:rPr lang="en-US" sz="1000" b="0" i="0" u="none" strike="noStrike" baseline="0">
              <a:solidFill>
                <a:srgbClr val="333333"/>
              </a:solidFill>
              <a:latin typeface="Verdana"/>
              <a:ea typeface="Verdana"/>
              <a:cs typeface="Verdana"/>
            </a:rPr>
            <a:t>If a Withdrawal Request causes the Gas In Storage to be negative the part of the Request which causes the negative Gas In Storage will be ignored.</a:t>
          </a:r>
        </a:p>
        <a:p>
          <a:pPr algn="l" rtl="0">
            <a:defRPr sz="1000"/>
          </a:pPr>
          <a:r>
            <a:rPr lang="en-US" sz="1000" b="1" i="0" u="none" strike="noStrike" baseline="0">
              <a:solidFill>
                <a:srgbClr val="0AB14B"/>
              </a:solidFill>
              <a:latin typeface="Verdana"/>
              <a:ea typeface="Verdana"/>
              <a:cs typeface="Verdana"/>
            </a:rPr>
            <a:t>5</a:t>
          </a:r>
          <a:r>
            <a:rPr lang="en-US" sz="1000" b="0" i="0" u="none" strike="noStrike" baseline="0">
              <a:solidFill>
                <a:srgbClr val="333333"/>
              </a:solidFill>
              <a:latin typeface="Verdana"/>
              <a:ea typeface="Verdana"/>
              <a:cs typeface="Verdana"/>
            </a:rPr>
            <a:t>  Any further use of Interruptible Space is not allowed, request are ignored accordingly.</a:t>
          </a:r>
        </a:p>
        <a:p>
          <a:pPr algn="l" rtl="0">
            <a:defRPr sz="1000"/>
          </a:pPr>
          <a:r>
            <a:rPr lang="en-US" sz="1000" b="1" i="0" u="none" strike="noStrike" baseline="0">
              <a:solidFill>
                <a:srgbClr val="0AB14B"/>
              </a:solidFill>
              <a:latin typeface="Verdana"/>
              <a:ea typeface="Verdana"/>
              <a:cs typeface="Verdana"/>
            </a:rPr>
            <a:t>6</a:t>
          </a:r>
          <a:r>
            <a:rPr lang="en-US" sz="1000" b="0" i="0" u="none" strike="noStrike" baseline="0">
              <a:solidFill>
                <a:srgbClr val="333333"/>
              </a:solidFill>
              <a:latin typeface="Verdana"/>
              <a:ea typeface="Verdana"/>
              <a:cs typeface="Verdana"/>
            </a:rPr>
            <a:t>  If an Injection Request exceeds the amount of Firm Injection Capacity, the Firm Injection Request equals the Firm Injection Capacity. If not, the Firm Injection Request equals the Injection Request. If a Withdrawal Request exceeds the amount of Firm Withdrawal Capacity, the Firm Withdrawal Request equals the Firm Withdrawal Capacity. If not, the Firm Withdrawal Request equals the Withdrawal Request.</a:t>
          </a:r>
        </a:p>
        <a:p>
          <a:pPr algn="l" rtl="0">
            <a:defRPr sz="1000"/>
          </a:pPr>
          <a:r>
            <a:rPr lang="en-US" sz="1000" b="1" i="0" u="none" strike="noStrike" baseline="0">
              <a:solidFill>
                <a:srgbClr val="0AB14B"/>
              </a:solidFill>
              <a:latin typeface="Verdana"/>
              <a:ea typeface="Verdana"/>
              <a:cs typeface="Verdana"/>
            </a:rPr>
            <a:t>7</a:t>
          </a:r>
          <a:r>
            <a:rPr lang="en-US" sz="1000" b="0" i="0" u="none" strike="noStrike" baseline="0">
              <a:solidFill>
                <a:srgbClr val="333333"/>
              </a:solidFill>
              <a:latin typeface="Verdana"/>
              <a:ea typeface="Verdana"/>
              <a:cs typeface="Verdana"/>
            </a:rPr>
            <a:t>  Any Withdrawal Request exceeding the Firm Capacity is a Interruptible Withdrawal Request.</a:t>
          </a:r>
        </a:p>
        <a:p>
          <a:pPr algn="l" rtl="0">
            <a:defRPr sz="1000"/>
          </a:pPr>
          <a:r>
            <a:rPr lang="en-US" sz="1000" b="1" i="0" u="none" strike="noStrike" baseline="0">
              <a:solidFill>
                <a:srgbClr val="0AB14B"/>
              </a:solidFill>
              <a:latin typeface="Verdana"/>
              <a:ea typeface="Verdana"/>
              <a:cs typeface="Verdana"/>
            </a:rPr>
            <a:t>8</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Any Injection Request exceeding the Firm Capacity is a Interruptible Injection Request.</a:t>
          </a:r>
        </a:p>
        <a:p>
          <a:pPr algn="l" rtl="0">
            <a:defRPr sz="1000"/>
          </a:pPr>
          <a:r>
            <a:rPr lang="en-US" sz="1000" b="1" i="0" u="none" strike="noStrike" baseline="0">
              <a:solidFill>
                <a:srgbClr val="0AB14B"/>
              </a:solidFill>
              <a:latin typeface="Verdana"/>
              <a:ea typeface="Verdana"/>
              <a:cs typeface="Verdana"/>
            </a:rPr>
            <a:t>9</a:t>
          </a:r>
          <a:r>
            <a:rPr lang="en-US" sz="1000" b="0" i="0" u="none" strike="noStrike" baseline="0">
              <a:solidFill>
                <a:srgbClr val="333333"/>
              </a:solidFill>
              <a:latin typeface="Verdana"/>
              <a:ea typeface="Verdana"/>
              <a:cs typeface="Verdana"/>
            </a:rPr>
            <a:t>  The Forward Direction is at first determined by the sum of Firm Injection Requests minus the sum of  Withdrawal Requests. If this Direction is positive (equals) Injection then Mandatory Withdrawal will apply.</a:t>
          </a:r>
        </a:p>
        <a:p>
          <a:pPr algn="l" rtl="0">
            <a:defRPr sz="1000"/>
          </a:pPr>
          <a:r>
            <a:rPr lang="en-US" sz="1000" b="1" i="0" u="none" strike="noStrike" baseline="0">
              <a:solidFill>
                <a:srgbClr val="0AB14B"/>
              </a:solidFill>
              <a:latin typeface="Verdana"/>
              <a:ea typeface="Verdana"/>
              <a:cs typeface="Verdana"/>
            </a:rPr>
            <a:t>10</a:t>
          </a:r>
          <a:r>
            <a:rPr lang="en-US" sz="1000" b="0" i="0" u="none" strike="noStrike" baseline="0">
              <a:solidFill>
                <a:srgbClr val="0AB14B"/>
              </a:solidFill>
              <a:latin typeface="Verdana"/>
              <a:ea typeface="Verdana"/>
              <a:cs typeface="Verdana"/>
            </a:rPr>
            <a:t> </a:t>
          </a:r>
          <a:r>
            <a:rPr lang="en-US" sz="1000" b="0" i="0" u="none" strike="noStrike" baseline="0">
              <a:solidFill>
                <a:srgbClr val="333333"/>
              </a:solidFill>
              <a:latin typeface="Verdana"/>
              <a:ea typeface="Verdana"/>
              <a:cs typeface="Verdana"/>
            </a:rPr>
            <a:t> The Forward Direction is recalculated by adding the sum of Interruptible Injection Requests to the first Forward Direction. If the first and second Forward Direction ate both negative (equals) Withdrawal the Interruptible Withdrawal Requests will be awarded similarly to a Normal Day. See sheet </a:t>
          </a:r>
          <a:r>
            <a:rPr lang="en-US" sz="1000" b="1" i="0" u="none" strike="noStrike" baseline="0">
              <a:solidFill>
                <a:srgbClr val="333333"/>
              </a:solidFill>
              <a:latin typeface="Verdana"/>
              <a:ea typeface="Verdana"/>
              <a:cs typeface="Verdana"/>
            </a:rPr>
            <a:t>FSD Withdrawal</a:t>
          </a:r>
          <a:r>
            <a:rPr lang="en-US" sz="1000" b="0" i="0" u="none" strike="noStrike" baseline="0">
              <a:solidFill>
                <a:srgbClr val="333333"/>
              </a:solidFill>
              <a:latin typeface="Verdana"/>
              <a:ea typeface="Verdana"/>
              <a:cs typeface="Verdana"/>
            </a:rPr>
            <a:t> for further calculations. If the first Forward Direction is negative (equals) Withdrawal and the second Forward Direction is positive (equals Injection) the Interruptible Injection Requests will be calculated as in sheet </a:t>
          </a:r>
          <a:r>
            <a:rPr lang="en-US" sz="1000" b="1" i="0" u="none" strike="noStrike" baseline="0">
              <a:solidFill>
                <a:srgbClr val="333333"/>
              </a:solidFill>
              <a:latin typeface="Verdana"/>
              <a:ea typeface="Verdana"/>
              <a:cs typeface="Verdana"/>
            </a:rPr>
            <a:t>FSD Injection</a:t>
          </a:r>
          <a:r>
            <a:rPr lang="en-US" sz="1000" b="0" i="0" u="none" strike="noStrike" baseline="0">
              <a:solidFill>
                <a:srgbClr val="333333"/>
              </a:solidFill>
              <a:latin typeface="Verdana"/>
              <a:ea typeface="Verdana"/>
              <a:cs typeface="Verdana"/>
            </a:rPr>
            <a:t>.</a:t>
          </a:r>
        </a:p>
        <a:p>
          <a:pPr algn="l" rtl="0">
            <a:defRPr sz="1000"/>
          </a:pPr>
          <a:r>
            <a:rPr lang="en-US" sz="1000" b="1" i="0" u="none" strike="noStrike" baseline="0">
              <a:solidFill>
                <a:srgbClr val="0AB14B"/>
              </a:solidFill>
              <a:latin typeface="Verdana"/>
              <a:ea typeface="Verdana"/>
              <a:cs typeface="Verdana"/>
            </a:rPr>
            <a:t>11</a:t>
          </a:r>
          <a:r>
            <a:rPr lang="en-US" sz="1000" b="0" i="0" u="none" strike="noStrike" baseline="0">
              <a:solidFill>
                <a:srgbClr val="333333"/>
              </a:solidFill>
              <a:latin typeface="Verdana"/>
              <a:ea typeface="Verdana"/>
              <a:cs typeface="Verdana"/>
            </a:rPr>
            <a:t>  If the Gas In Storage for hour 06-07 exceeds the Registered Space for D the Customer is a Full Storage Customer.</a:t>
          </a:r>
        </a:p>
        <a:p>
          <a:pPr algn="l" rtl="0">
            <a:defRPr sz="1000"/>
          </a:pPr>
          <a:r>
            <a:rPr lang="en-US" sz="1000" b="1" i="0" u="none" strike="noStrike" baseline="0">
              <a:solidFill>
                <a:srgbClr val="0AB14B"/>
              </a:solidFill>
              <a:latin typeface="Verdana"/>
              <a:ea typeface="Verdana"/>
              <a:cs typeface="Verdana"/>
            </a:rPr>
            <a:t>12</a:t>
          </a:r>
          <a:r>
            <a:rPr lang="en-US" sz="1000" b="0" i="0" u="none" strike="noStrike" baseline="0">
              <a:solidFill>
                <a:srgbClr val="333333"/>
              </a:solidFill>
              <a:latin typeface="Verdana"/>
              <a:ea typeface="Verdana"/>
              <a:cs typeface="Verdana"/>
            </a:rPr>
            <a:t>  The Interruptible Space in use is the amount of Gas In Storage at D 07-08 minus the Registered Space for D (when negative the Use of Interruptible Space is zero).</a:t>
          </a:r>
        </a:p>
        <a:p>
          <a:pPr algn="l" rtl="0">
            <a:defRPr sz="1000"/>
          </a:pPr>
          <a:r>
            <a:rPr lang="en-US" sz="1000" b="1" i="0" u="none" strike="noStrike" baseline="0">
              <a:solidFill>
                <a:srgbClr val="0AB14B"/>
              </a:solidFill>
              <a:latin typeface="Verdana"/>
              <a:ea typeface="Verdana"/>
              <a:cs typeface="Verdana"/>
            </a:rPr>
            <a:t>13</a:t>
          </a:r>
          <a:r>
            <a:rPr lang="en-US" sz="1000" b="0" i="0" u="none" strike="noStrike" baseline="0">
              <a:solidFill>
                <a:srgbClr val="333333"/>
              </a:solidFill>
              <a:latin typeface="Verdana"/>
              <a:ea typeface="Verdana"/>
              <a:cs typeface="Verdana"/>
            </a:rPr>
            <a:t>  The amount of Withdrawal needed to ensure Total Flow is not Injection (Mandatory Withdrawal).</a:t>
          </a:r>
        </a:p>
        <a:p>
          <a:pPr algn="l" rtl="0">
            <a:defRPr sz="1000"/>
          </a:pPr>
          <a:r>
            <a:rPr lang="en-US" sz="1000" b="1" i="0" u="none" strike="noStrike" baseline="0">
              <a:solidFill>
                <a:srgbClr val="0AB14B"/>
              </a:solidFill>
              <a:latin typeface="Verdana"/>
              <a:ea typeface="Verdana"/>
              <a:cs typeface="Verdana"/>
            </a:rPr>
            <a:t>14</a:t>
          </a:r>
          <a:r>
            <a:rPr lang="en-US" sz="1000" b="0" i="0" u="none" strike="noStrike" baseline="0">
              <a:solidFill>
                <a:srgbClr val="333333"/>
              </a:solidFill>
              <a:latin typeface="Verdana"/>
              <a:ea typeface="Verdana"/>
              <a:cs typeface="Verdana"/>
            </a:rPr>
            <a:t>  The amount of Withdrawal already scheduled for a Full Storage Customer.</a:t>
          </a:r>
        </a:p>
        <a:p>
          <a:pPr algn="l" rtl="0">
            <a:defRPr sz="1000"/>
          </a:pPr>
          <a:r>
            <a:rPr lang="en-US" sz="1000" b="1" i="0" u="none" strike="noStrike" baseline="0">
              <a:solidFill>
                <a:srgbClr val="0AB14B"/>
              </a:solidFill>
              <a:latin typeface="Verdana"/>
              <a:ea typeface="Verdana"/>
              <a:cs typeface="Verdana"/>
            </a:rPr>
            <a:t>15</a:t>
          </a:r>
          <a:r>
            <a:rPr lang="en-US" sz="1000" b="0" i="0" u="none" strike="noStrike" baseline="0">
              <a:solidFill>
                <a:srgbClr val="333333"/>
              </a:solidFill>
              <a:latin typeface="Verdana"/>
              <a:ea typeface="Verdana"/>
              <a:cs typeface="Verdana"/>
            </a:rPr>
            <a:t>  The Firm Response is equal to the Firm Request</a:t>
          </a:r>
        </a:p>
        <a:p>
          <a:pPr algn="l" rtl="0">
            <a:defRPr sz="1000"/>
          </a:pPr>
          <a:r>
            <a:rPr lang="en-US" sz="1000" b="1" i="0" u="none" strike="noStrike" baseline="0">
              <a:solidFill>
                <a:srgbClr val="0AB14B"/>
              </a:solidFill>
              <a:latin typeface="Verdana"/>
              <a:ea typeface="Verdana"/>
              <a:cs typeface="Verdana"/>
            </a:rPr>
            <a:t>16</a:t>
          </a:r>
          <a:r>
            <a:rPr lang="en-US" sz="1000" b="0" i="0" u="none" strike="noStrike" baseline="0">
              <a:solidFill>
                <a:srgbClr val="333333"/>
              </a:solidFill>
              <a:latin typeface="Verdana"/>
              <a:ea typeface="Verdana"/>
              <a:cs typeface="Verdana"/>
            </a:rPr>
            <a:t>  All Interruptible Withdrawal Request are scheduled.</a:t>
          </a:r>
        </a:p>
        <a:p>
          <a:pPr algn="l" rtl="0">
            <a:defRPr sz="1000"/>
          </a:pPr>
          <a:r>
            <a:rPr lang="en-US" sz="1000" b="1" i="0" u="none" strike="noStrike" baseline="0">
              <a:solidFill>
                <a:srgbClr val="0AB14B"/>
              </a:solidFill>
              <a:latin typeface="Verdana"/>
              <a:ea typeface="Verdana"/>
              <a:cs typeface="Verdana"/>
            </a:rPr>
            <a:t>17 &amp; 18 &amp; 19</a:t>
          </a:r>
          <a:r>
            <a:rPr lang="en-US" sz="1000" b="1" i="0" u="none" strike="noStrike" baseline="0">
              <a:solidFill>
                <a:srgbClr val="333333"/>
              </a:solidFill>
              <a:latin typeface="Verdana"/>
              <a:ea typeface="Verdana"/>
              <a:cs typeface="Verdana"/>
            </a:rPr>
            <a:t> </a:t>
          </a:r>
          <a:r>
            <a:rPr lang="en-US" sz="1000" b="0" i="0" u="none" strike="noStrike" baseline="0">
              <a:solidFill>
                <a:srgbClr val="333333"/>
              </a:solidFill>
              <a:latin typeface="Verdana"/>
              <a:ea typeface="Verdana"/>
              <a:cs typeface="Verdana"/>
            </a:rPr>
            <a:t>The amount of Mandatory Withdrawal needed from all Full Storage Customers is equal to the amount of Mandatory Withdrawal Needed times the amount of Interruptible Space in Use by the Customer divided by the total amount of Interruptible Space in Use. A Full Storage Customer will not be forced to withdraw into Registered Space. A Full Storage Customer will not have a negative amount of Gas In Storage after Mandatory Withdrawal (in case of a customer without Registered Space). Any already scheduled Withdrawal will be taken into account when calculating the Mandatory Withdrawal. If a Full Storage Customer already withdraws more than he needs to do mandatory the other Full Storage Csutomers will have to withdraw less, in this example this is a a two-step calculation.</a:t>
          </a:r>
        </a:p>
        <a:p>
          <a:pPr algn="l" rtl="0">
            <a:defRPr sz="1000"/>
          </a:pPr>
          <a:r>
            <a:rPr lang="en-US" sz="1000" b="1" i="0" u="none" strike="noStrike" baseline="0">
              <a:solidFill>
                <a:srgbClr val="0AB14B"/>
              </a:solidFill>
              <a:latin typeface="Verdana"/>
              <a:ea typeface="Verdana"/>
              <a:cs typeface="Verdana"/>
            </a:rPr>
            <a:t>20</a:t>
          </a:r>
          <a:r>
            <a:rPr lang="en-US" sz="1000" b="0" i="0" u="none" strike="noStrike" baseline="0">
              <a:solidFill>
                <a:srgbClr val="333333"/>
              </a:solidFill>
              <a:latin typeface="Verdana"/>
              <a:ea typeface="Verdana"/>
              <a:cs typeface="Verdana"/>
            </a:rPr>
            <a:t>  The Total Contract Quantity is equal to the the Firm Contract Quantity plus the Interruptible Withdrawal Contract Quantity plus the Mandatory Withdrawal.  </a:t>
          </a:r>
          <a:endParaRPr lang="en-US" sz="1000" b="1" i="0" u="none" strike="noStrike" baseline="0">
            <a:solidFill>
              <a:srgbClr val="333333"/>
            </a:solidFill>
            <a:latin typeface="Verdana"/>
            <a:ea typeface="Verdana"/>
            <a:cs typeface="Verdana"/>
          </a:endParaRPr>
        </a:p>
        <a:p>
          <a:pPr algn="l" rtl="0">
            <a:defRPr sz="1000"/>
          </a:pPr>
          <a:endParaRPr lang="en-US" sz="1000" b="1" i="0" u="none" strike="noStrike" baseline="0">
            <a:solidFill>
              <a:srgbClr val="333333"/>
            </a:solidFill>
            <a:latin typeface="Verdana"/>
            <a:ea typeface="Verdana"/>
            <a:cs typeface="Verdana"/>
          </a:endParaRPr>
        </a:p>
      </xdr:txBody>
    </xdr:sp>
    <xdr:clientData/>
  </xdr:twoCellAnchor>
  <xdr:twoCellAnchor>
    <xdr:from>
      <xdr:col>0</xdr:col>
      <xdr:colOff>57150</xdr:colOff>
      <xdr:row>0</xdr:row>
      <xdr:rowOff>1333500</xdr:rowOff>
    </xdr:from>
    <xdr:to>
      <xdr:col>0</xdr:col>
      <xdr:colOff>6638925</xdr:colOff>
      <xdr:row>4</xdr:row>
      <xdr:rowOff>123825</xdr:rowOff>
    </xdr:to>
    <xdr:sp macro="" textlink="">
      <xdr:nvSpPr>
        <xdr:cNvPr id="4102" name="Text Box 6"/>
        <xdr:cNvSpPr txBox="1">
          <a:spLocks noChangeArrowheads="1"/>
        </xdr:cNvSpPr>
      </xdr:nvSpPr>
      <xdr:spPr bwMode="auto">
        <a:xfrm>
          <a:off x="57150" y="1333500"/>
          <a:ext cx="6581775" cy="1352550"/>
        </a:xfrm>
        <a:prstGeom prst="rect">
          <a:avLst/>
        </a:prstGeom>
        <a:gradFill rotWithShape="1">
          <a:gsLst>
            <a:gs pos="0">
              <a:srgbClr val="C9ECFF"/>
            </a:gs>
            <a:gs pos="100000">
              <a:srgbClr val="FFFFFF"/>
            </a:gs>
          </a:gsLst>
          <a:lin ang="5400000" scaled="1"/>
        </a:gradFill>
        <a:ln>
          <a:noFill/>
        </a:ln>
        <a:extLst>
          <a:ext uri="{91240B29-F687-4F45-9708-019B960494DF}">
            <a14:hiddenLine xmlns:a14="http://schemas.microsoft.com/office/drawing/2010/main" w="19050">
              <a:solidFill>
                <a:srgbClr xmlns:mc="http://schemas.openxmlformats.org/markup-compatibility/2006" val="808080" mc:Ignorable="a14" a14:legacySpreadsheetColorIndex="23"/>
              </a:solidFill>
              <a:miter lim="800000"/>
              <a:headEnd/>
              <a:tailEnd/>
            </a14:hiddenLine>
          </a:ext>
        </a:extLst>
      </xdr:spPr>
      <xdr:txBody>
        <a:bodyPr vertOverflow="clip" wrap="square" lIns="36576" tIns="22860" rIns="0" bIns="0" anchor="t" upright="1"/>
        <a:lstStyle/>
        <a:p>
          <a:pPr algn="l" rtl="0">
            <a:defRPr sz="1000"/>
          </a:pPr>
          <a:r>
            <a:rPr lang="en-US" sz="1000" b="1" i="0" u="none" strike="noStrike" baseline="0">
              <a:solidFill>
                <a:srgbClr val="333333"/>
              </a:solidFill>
              <a:latin typeface="Verdana"/>
              <a:ea typeface="Verdana"/>
              <a:cs typeface="Verdana"/>
            </a:rPr>
            <a:t>Example Full Storage Day: Total Flow is zero, no Mandatory Withdrawal</a:t>
          </a:r>
        </a:p>
        <a:p>
          <a:pPr algn="l" rtl="0">
            <a:defRPr sz="1000"/>
          </a:pPr>
          <a:r>
            <a:rPr lang="en-US" sz="1000" b="0" i="1" u="none" strike="noStrike" baseline="0">
              <a:solidFill>
                <a:srgbClr val="333333"/>
              </a:solidFill>
              <a:latin typeface="Verdana"/>
              <a:ea typeface="Verdana"/>
              <a:cs typeface="Verdana"/>
            </a:rPr>
            <a:t>The example calculates Firm and Interruptible Requests for hour 08-09 on day D.</a:t>
          </a:r>
        </a:p>
        <a:p>
          <a:pPr algn="l" rtl="0">
            <a:defRPr sz="1000"/>
          </a:pPr>
          <a:r>
            <a:rPr lang="en-US" sz="1000" b="0" i="1" u="none" strike="noStrike" baseline="0">
              <a:solidFill>
                <a:srgbClr val="333333"/>
              </a:solidFill>
              <a:latin typeface="Verdana"/>
              <a:ea typeface="Verdana"/>
              <a:cs typeface="Verdana"/>
            </a:rPr>
            <a:t>The Gas-In-Storage (D 06-07) value is the predicted value used in the D-1 processes, we use one value in this example for reasons of simplification.</a:t>
          </a:r>
        </a:p>
        <a:p>
          <a:pPr algn="l" rtl="0">
            <a:defRPr sz="1000"/>
          </a:pPr>
          <a:r>
            <a:rPr lang="en-US" sz="1000" b="0" i="1" u="none" strike="noStrike" baseline="0">
              <a:solidFill>
                <a:srgbClr val="0AB14B"/>
              </a:solidFill>
              <a:latin typeface="Verdana"/>
              <a:ea typeface="Verdana"/>
              <a:cs typeface="Verdana"/>
            </a:rPr>
            <a:t>In calculations:Withdrawal Capacities &amp; Requests are negative, Injection Requests are positive.</a:t>
          </a:r>
        </a:p>
        <a:p>
          <a:pPr algn="l" rtl="0">
            <a:defRPr sz="1000"/>
          </a:pPr>
          <a:r>
            <a:rPr lang="en-US" sz="1000" b="0" i="1" u="none" strike="noStrike" baseline="0">
              <a:solidFill>
                <a:srgbClr val="0AB14B"/>
              </a:solidFill>
              <a:latin typeface="Verdana"/>
              <a:ea typeface="Verdana"/>
              <a:cs typeface="Verdana"/>
            </a:rPr>
            <a:t>In text: All Requests and Capacities are positive</a:t>
          </a:r>
          <a:endParaRPr lang="en-US" sz="1000" b="0" i="1" u="none" strike="noStrike" baseline="0">
            <a:solidFill>
              <a:srgbClr val="333333"/>
            </a:solidFill>
            <a:latin typeface="Verdana"/>
            <a:ea typeface="Verdana"/>
            <a:cs typeface="Verdana"/>
          </a:endParaRPr>
        </a:p>
        <a:p>
          <a:pPr algn="l" rtl="0">
            <a:defRPr sz="1000"/>
          </a:pPr>
          <a:r>
            <a:rPr lang="en-US" sz="1000" b="0" i="1" u="none" strike="noStrike" baseline="0">
              <a:solidFill>
                <a:srgbClr val="333333"/>
              </a:solidFill>
              <a:latin typeface="Verdana"/>
              <a:ea typeface="Verdana"/>
              <a:cs typeface="Verdana"/>
            </a:rPr>
            <a:t>Maintenance is not taken into account to make calculations more transparant.</a:t>
          </a:r>
          <a:endParaRPr lang="en-US" sz="1000" b="1" i="0" u="none" strike="noStrike" baseline="0">
            <a:solidFill>
              <a:srgbClr val="333333"/>
            </a:solidFill>
            <a:latin typeface="Verdana"/>
            <a:ea typeface="Verdana"/>
            <a:cs typeface="Verdana"/>
          </a:endParaRPr>
        </a:p>
        <a:p>
          <a:pPr algn="l" rtl="0">
            <a:defRPr sz="1000"/>
          </a:pPr>
          <a:r>
            <a:rPr lang="en-US" sz="1000" b="0" i="1" u="none" strike="noStrike" baseline="0">
              <a:solidFill>
                <a:srgbClr val="333333"/>
              </a:solidFill>
              <a:latin typeface="Verdana"/>
              <a:ea typeface="Verdana"/>
              <a:cs typeface="Verdana"/>
            </a:rPr>
            <a:t>Capacities are in kWh/h, Gas-In-Storage, Requests and Contracted Quantities are in kWh.</a:t>
          </a:r>
        </a:p>
      </xdr:txBody>
    </xdr:sp>
    <xdr:clientData/>
  </xdr:twoCellAnchor>
  <xdr:twoCellAnchor>
    <xdr:from>
      <xdr:col>6</xdr:col>
      <xdr:colOff>19050</xdr:colOff>
      <xdr:row>0</xdr:row>
      <xdr:rowOff>0</xdr:rowOff>
    </xdr:from>
    <xdr:to>
      <xdr:col>11</xdr:col>
      <xdr:colOff>371475</xdr:colOff>
      <xdr:row>4</xdr:row>
      <xdr:rowOff>19050</xdr:rowOff>
    </xdr:to>
    <xdr:graphicFrame macro="">
      <xdr:nvGraphicFramePr>
        <xdr:cNvPr id="4157"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9525</xdr:colOff>
      <xdr:row>0</xdr:row>
      <xdr:rowOff>0</xdr:rowOff>
    </xdr:from>
    <xdr:to>
      <xdr:col>7</xdr:col>
      <xdr:colOff>400050</xdr:colOff>
      <xdr:row>4</xdr:row>
      <xdr:rowOff>0</xdr:rowOff>
    </xdr:to>
    <xdr:graphicFrame macro="">
      <xdr:nvGraphicFramePr>
        <xdr:cNvPr id="4158"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6686550</xdr:colOff>
      <xdr:row>0</xdr:row>
      <xdr:rowOff>76200</xdr:rowOff>
    </xdr:from>
    <xdr:to>
      <xdr:col>3</xdr:col>
      <xdr:colOff>809625</xdr:colOff>
      <xdr:row>3</xdr:row>
      <xdr:rowOff>19050</xdr:rowOff>
    </xdr:to>
    <xdr:pic>
      <xdr:nvPicPr>
        <xdr:cNvPr id="4159" name="Picture 1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86550" y="76200"/>
          <a:ext cx="1857375"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3228975</xdr:colOff>
      <xdr:row>0</xdr:row>
      <xdr:rowOff>171450</xdr:rowOff>
    </xdr:from>
    <xdr:to>
      <xdr:col>0</xdr:col>
      <xdr:colOff>5581650</xdr:colOff>
      <xdr:row>0</xdr:row>
      <xdr:rowOff>1266825</xdr:rowOff>
    </xdr:to>
    <xdr:sp macro="" textlink="">
      <xdr:nvSpPr>
        <xdr:cNvPr id="4114" name="Text Box 18"/>
        <xdr:cNvSpPr txBox="1">
          <a:spLocks noChangeArrowheads="1"/>
        </xdr:cNvSpPr>
      </xdr:nvSpPr>
      <xdr:spPr bwMode="auto">
        <a:xfrm>
          <a:off x="3228975" y="171450"/>
          <a:ext cx="2352675" cy="1095375"/>
        </a:xfrm>
        <a:prstGeom prst="rect">
          <a:avLst/>
        </a:prstGeom>
        <a:gradFill rotWithShape="1">
          <a:gsLst>
            <a:gs pos="0">
              <a:srgbClr val="C9ECFF"/>
            </a:gs>
            <a:gs pos="100000">
              <a:srgbClr val="EEF9FF"/>
            </a:gs>
          </a:gsLst>
          <a:lin ang="5400000" scaled="1"/>
        </a:gradFill>
        <a:ln>
          <a:noFill/>
        </a:ln>
        <a:effectLst/>
        <a:extLst>
          <a:ext uri="{91240B29-F687-4F45-9708-019B960494DF}">
            <a14:hiddenLine xmlns:a14="http://schemas.microsoft.com/office/drawing/2010/main" w="19050" algn="ctr">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1" i="0" u="none" strike="noStrike" baseline="0">
              <a:solidFill>
                <a:srgbClr val="00529B"/>
              </a:solidFill>
              <a:latin typeface="Verdana"/>
              <a:ea typeface="Verdana"/>
              <a:cs typeface="Verdana"/>
            </a:rPr>
            <a:t>Refers to SSSA</a:t>
          </a:r>
          <a:endParaRPr lang="en-US" sz="800" b="0" i="0" u="none" strike="noStrike" baseline="0">
            <a:solidFill>
              <a:srgbClr val="333333"/>
            </a:solidFill>
            <a:latin typeface="Verdana"/>
            <a:ea typeface="Verdana"/>
            <a:cs typeface="Verdana"/>
          </a:endParaRPr>
        </a:p>
        <a:p>
          <a:pPr algn="l" rtl="0">
            <a:defRPr sz="1000"/>
          </a:pPr>
          <a:r>
            <a:rPr lang="en-US" sz="800" b="0" i="0" u="none" strike="noStrike" baseline="0">
              <a:solidFill>
                <a:srgbClr val="00529B"/>
              </a:solidFill>
              <a:latin typeface="Verdana"/>
              <a:ea typeface="Verdana"/>
              <a:cs typeface="Verdana"/>
            </a:rPr>
            <a:t>3. Registered Capacity and Firm Capacity</a:t>
          </a:r>
        </a:p>
        <a:p>
          <a:pPr algn="l" rtl="0">
            <a:defRPr sz="1000"/>
          </a:pPr>
          <a:r>
            <a:rPr lang="en-US" sz="800" b="0" i="0" u="none" strike="noStrike" baseline="0">
              <a:solidFill>
                <a:srgbClr val="00529B"/>
              </a:solidFill>
              <a:latin typeface="Verdana"/>
              <a:ea typeface="Verdana"/>
              <a:cs typeface="Verdana"/>
            </a:rPr>
            <a:t>4. Requests and Requested Quantity</a:t>
          </a:r>
        </a:p>
        <a:p>
          <a:pPr algn="l" rtl="0">
            <a:defRPr sz="1000"/>
          </a:pPr>
          <a:r>
            <a:rPr lang="en-US" sz="800" b="0" i="0" u="none" strike="noStrike" baseline="0">
              <a:solidFill>
                <a:srgbClr val="00529B"/>
              </a:solidFill>
              <a:latin typeface="Verdana"/>
              <a:ea typeface="Verdana"/>
              <a:cs typeface="Verdana"/>
            </a:rPr>
            <a:t>5. Injection and Withdrawal</a:t>
          </a:r>
        </a:p>
        <a:p>
          <a:pPr algn="l" rtl="0">
            <a:defRPr sz="1000"/>
          </a:pPr>
          <a:r>
            <a:rPr lang="en-US" sz="800" b="0" i="0" u="none" strike="noStrike" baseline="0">
              <a:solidFill>
                <a:srgbClr val="00529B"/>
              </a:solidFill>
              <a:latin typeface="Verdana"/>
              <a:ea typeface="Verdana"/>
              <a:cs typeface="Verdana"/>
            </a:rPr>
            <a:t>6. Interruptible Capacity</a:t>
          </a:r>
        </a:p>
        <a:p>
          <a:pPr algn="l" rtl="0">
            <a:defRPr sz="1000"/>
          </a:pPr>
          <a:r>
            <a:rPr lang="en-US" sz="800" b="0" i="0" u="none" strike="noStrike" baseline="0">
              <a:solidFill>
                <a:srgbClr val="00529B"/>
              </a:solidFill>
              <a:latin typeface="Verdana"/>
              <a:ea typeface="Verdana"/>
              <a:cs typeface="Verdana"/>
            </a:rPr>
            <a:t>7. Gas-in-Storage</a:t>
          </a:r>
        </a:p>
        <a:p>
          <a:pPr algn="l" rtl="0">
            <a:defRPr sz="1000"/>
          </a:pPr>
          <a:r>
            <a:rPr lang="en-US" sz="800" b="0" i="0" u="none" strike="noStrike" baseline="0">
              <a:solidFill>
                <a:srgbClr val="00529B"/>
              </a:solidFill>
              <a:latin typeface="Verdana"/>
              <a:ea typeface="Verdana"/>
              <a:cs typeface="Verdana"/>
            </a:rPr>
            <a:t>Schedule C Request Procedure</a:t>
          </a:r>
        </a:p>
        <a:p>
          <a:pPr algn="l" rtl="0">
            <a:defRPr sz="1000"/>
          </a:pPr>
          <a:r>
            <a:rPr lang="en-US" sz="800" b="0" i="0" u="none" strike="noStrike" baseline="0">
              <a:solidFill>
                <a:srgbClr val="00529B"/>
              </a:solidFill>
              <a:latin typeface="Verdana"/>
              <a:ea typeface="Verdana"/>
              <a:cs typeface="Verdana"/>
            </a:rPr>
            <a:t>Schedule E Interruptible Capacity</a:t>
          </a:r>
          <a:endParaRPr lang="en-US" sz="800" b="0" i="0" u="none" strike="noStrike" baseline="0">
            <a:solidFill>
              <a:srgbClr val="333333"/>
            </a:solidFill>
            <a:latin typeface="Verdana"/>
            <a:ea typeface="Verdana"/>
            <a:cs typeface="Verdana"/>
          </a:endParaRPr>
        </a:p>
        <a:p>
          <a:pPr algn="l" rtl="0">
            <a:defRPr sz="1000"/>
          </a:pPr>
          <a:endParaRPr lang="en-US" sz="800" b="0" i="0" u="none" strike="noStrike" baseline="0">
            <a:solidFill>
              <a:srgbClr val="333333"/>
            </a:solidFill>
            <a:latin typeface="Verdana"/>
            <a:ea typeface="Verdana"/>
            <a:cs typeface="Verdana"/>
          </a:endParaRPr>
        </a:p>
      </xdr:txBody>
    </xdr:sp>
    <xdr:clientData/>
  </xdr:twoCellAnchor>
  <xdr:twoCellAnchor editAs="oneCell">
    <xdr:from>
      <xdr:col>0</xdr:col>
      <xdr:colOff>5724525</xdr:colOff>
      <xdr:row>0</xdr:row>
      <xdr:rowOff>581025</xdr:rowOff>
    </xdr:from>
    <xdr:to>
      <xdr:col>0</xdr:col>
      <xdr:colOff>6591300</xdr:colOff>
      <xdr:row>0</xdr:row>
      <xdr:rowOff>1276350</xdr:rowOff>
    </xdr:to>
    <xdr:pic>
      <xdr:nvPicPr>
        <xdr:cNvPr id="4161" name="Picture 2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24525" y="581025"/>
          <a:ext cx="8667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104775</xdr:colOff>
      <xdr:row>0</xdr:row>
      <xdr:rowOff>38100</xdr:rowOff>
    </xdr:from>
    <xdr:to>
      <xdr:col>5</xdr:col>
      <xdr:colOff>581025</xdr:colOff>
      <xdr:row>0</xdr:row>
      <xdr:rowOff>238125</xdr:rowOff>
    </xdr:to>
    <xdr:sp macro="" textlink="">
      <xdr:nvSpPr>
        <xdr:cNvPr id="4118" name="Text Box 22"/>
        <xdr:cNvSpPr txBox="1">
          <a:spLocks noChangeArrowheads="1"/>
        </xdr:cNvSpPr>
      </xdr:nvSpPr>
      <xdr:spPr bwMode="auto">
        <a:xfrm>
          <a:off x="9515475" y="38100"/>
          <a:ext cx="476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en-GB" sz="1000" b="1" i="0" u="none" strike="noStrike" baseline="0">
              <a:solidFill>
                <a:srgbClr val="000000"/>
              </a:solidFill>
              <a:latin typeface="Verdana"/>
              <a:ea typeface="Verdana"/>
              <a:cs typeface="Verdana"/>
            </a:rPr>
            <a:t>SUM</a:t>
          </a:r>
          <a:endParaRPr lang="en-GB"/>
        </a:p>
      </xdr:txBody>
    </xdr:sp>
    <xdr:clientData/>
  </xdr:twoCellAnchor>
  <xdr:twoCellAnchor editAs="oneCell">
    <xdr:from>
      <xdr:col>0</xdr:col>
      <xdr:colOff>0</xdr:colOff>
      <xdr:row>0</xdr:row>
      <xdr:rowOff>0</xdr:rowOff>
    </xdr:from>
    <xdr:to>
      <xdr:col>0</xdr:col>
      <xdr:colOff>2209800</xdr:colOff>
      <xdr:row>0</xdr:row>
      <xdr:rowOff>790575</xdr:rowOff>
    </xdr:to>
    <xdr:pic>
      <xdr:nvPicPr>
        <xdr:cNvPr id="4163" name="Picture 13" descr="H:\logo-2012.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0"/>
          <a:ext cx="22098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eua0\AppData\Local\Microsoft\Windows\Temporary%20Internet%20Files\Content.Outlook\7IRHFV50\TEN_DM-%2374278-v3H-Bergermeer_economic_model_refresh_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ocuments%20and%20Settings\leeua0\Local%20Settings\Temporary%20Internet%20Files\OLKC4\Storage%20Profi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olsa0\AppData\Local\Microsoft\Windows\Temporary%20Internet%20Files\Content.Outlook\M2RDK0WS\working%20gas%20as%20collater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ocuments%20and%20Settings\leeua0\Local%20Settings\Temporary%20Internet%20Files\OLKC4\Documents%20and%20Settings\leeua0\Local%20Settings\Temporary%20Internet%20Files\OLK3D\Questionnaire_TAQA_CMC_0%2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ocuments%20and%20Settings\vegtr0\Local%20Settings\Temporary%20Internet%20Files\OLK4E\BGS%20-%20Tailoring%20Model(11January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ons"/>
      <sheetName val="Assumptions Register"/>
      <sheetName val="Calc"/>
      <sheetName val="Accounts"/>
      <sheetName val="CF prod only"/>
      <sheetName val="Fiscal Accounts"/>
      <sheetName val="Graphs"/>
    </sheetNames>
    <sheetDataSet>
      <sheetData sheetId="0">
        <row r="2">
          <cell r="A2" t="str">
            <v>Sept 2011 IM</v>
          </cell>
        </row>
      </sheetData>
      <sheetData sheetId="1">
        <row r="7">
          <cell r="D7">
            <v>5</v>
          </cell>
        </row>
        <row r="8">
          <cell r="D8">
            <v>1.22075</v>
          </cell>
        </row>
        <row r="12">
          <cell r="D12" t="b">
            <v>0</v>
          </cell>
        </row>
        <row r="13">
          <cell r="D13">
            <v>2014</v>
          </cell>
        </row>
        <row r="14">
          <cell r="D14">
            <v>413.83362067107328</v>
          </cell>
        </row>
        <row r="15">
          <cell r="D15">
            <v>20</v>
          </cell>
        </row>
        <row r="16">
          <cell r="D16">
            <v>0.04</v>
          </cell>
        </row>
        <row r="17">
          <cell r="D17" t="b">
            <v>1</v>
          </cell>
        </row>
        <row r="31">
          <cell r="D31">
            <v>2014</v>
          </cell>
        </row>
        <row r="32">
          <cell r="F32">
            <v>2015</v>
          </cell>
        </row>
        <row r="34">
          <cell r="D34">
            <v>4.0999999999999996</v>
          </cell>
        </row>
        <row r="35">
          <cell r="D35">
            <v>4.3</v>
          </cell>
        </row>
        <row r="36">
          <cell r="D36">
            <v>0.42499999999999999</v>
          </cell>
        </row>
        <row r="37">
          <cell r="D37">
            <v>0.6</v>
          </cell>
        </row>
        <row r="38">
          <cell r="D38">
            <v>0.4</v>
          </cell>
        </row>
        <row r="39">
          <cell r="D39">
            <v>0.75</v>
          </cell>
        </row>
        <row r="40">
          <cell r="D40">
            <v>0.25</v>
          </cell>
        </row>
        <row r="44">
          <cell r="D44">
            <v>0.08</v>
          </cell>
        </row>
        <row r="45">
          <cell r="D45">
            <v>0.75</v>
          </cell>
        </row>
        <row r="57">
          <cell r="D57">
            <v>-23.75</v>
          </cell>
        </row>
        <row r="58">
          <cell r="D58">
            <v>-843.49095999999986</v>
          </cell>
        </row>
        <row r="61">
          <cell r="D61">
            <v>-13.766469740736106</v>
          </cell>
        </row>
        <row r="70">
          <cell r="D70">
            <v>75</v>
          </cell>
        </row>
        <row r="71">
          <cell r="D71">
            <v>1.2</v>
          </cell>
        </row>
        <row r="73">
          <cell r="P73">
            <v>2048</v>
          </cell>
        </row>
        <row r="74">
          <cell r="D74">
            <v>2.2010000000000001</v>
          </cell>
        </row>
        <row r="77">
          <cell r="D77">
            <v>2</v>
          </cell>
        </row>
        <row r="78">
          <cell r="D78">
            <v>1</v>
          </cell>
        </row>
        <row r="81">
          <cell r="D81">
            <v>-72.218520192780119</v>
          </cell>
        </row>
        <row r="92">
          <cell r="D92">
            <v>25</v>
          </cell>
        </row>
        <row r="93">
          <cell r="D93">
            <v>2014</v>
          </cell>
        </row>
        <row r="95">
          <cell r="D95">
            <v>30</v>
          </cell>
        </row>
        <row r="97">
          <cell r="D97">
            <v>0.25</v>
          </cell>
        </row>
        <row r="98">
          <cell r="D98">
            <v>20</v>
          </cell>
        </row>
        <row r="103">
          <cell r="D103">
            <v>0</v>
          </cell>
        </row>
        <row r="106">
          <cell r="D106">
            <v>1</v>
          </cell>
        </row>
        <row r="110">
          <cell r="D110">
            <v>35</v>
          </cell>
        </row>
        <row r="111">
          <cell r="D111">
            <v>35</v>
          </cell>
        </row>
        <row r="116">
          <cell r="D116">
            <v>0.75</v>
          </cell>
        </row>
        <row r="122">
          <cell r="D122" t="b">
            <v>0</v>
          </cell>
        </row>
        <row r="123">
          <cell r="D123">
            <v>2014</v>
          </cell>
        </row>
        <row r="124">
          <cell r="D124">
            <v>0.05</v>
          </cell>
        </row>
        <row r="125">
          <cell r="D125">
            <v>50</v>
          </cell>
        </row>
        <row r="131">
          <cell r="D131">
            <v>1.1277777777777779E-2</v>
          </cell>
        </row>
      </sheetData>
      <sheetData sheetId="2">
        <row r="10">
          <cell r="F10">
            <v>365</v>
          </cell>
          <cell r="G10">
            <v>365</v>
          </cell>
          <cell r="H10">
            <v>365</v>
          </cell>
          <cell r="I10">
            <v>366</v>
          </cell>
          <cell r="J10">
            <v>365</v>
          </cell>
          <cell r="K10">
            <v>365</v>
          </cell>
          <cell r="L10">
            <v>365</v>
          </cell>
          <cell r="M10">
            <v>366</v>
          </cell>
          <cell r="N10">
            <v>365</v>
          </cell>
          <cell r="O10">
            <v>365</v>
          </cell>
          <cell r="P10">
            <v>365</v>
          </cell>
          <cell r="Q10">
            <v>366</v>
          </cell>
          <cell r="R10">
            <v>365</v>
          </cell>
          <cell r="S10">
            <v>365</v>
          </cell>
          <cell r="T10">
            <v>365</v>
          </cell>
          <cell r="U10">
            <v>366</v>
          </cell>
          <cell r="V10">
            <v>365</v>
          </cell>
          <cell r="W10">
            <v>365</v>
          </cell>
          <cell r="X10">
            <v>365</v>
          </cell>
          <cell r="Y10">
            <v>366</v>
          </cell>
          <cell r="Z10">
            <v>365</v>
          </cell>
          <cell r="AA10">
            <v>365</v>
          </cell>
          <cell r="AB10">
            <v>365</v>
          </cell>
          <cell r="AC10">
            <v>366</v>
          </cell>
          <cell r="AD10">
            <v>365</v>
          </cell>
          <cell r="AE10">
            <v>365</v>
          </cell>
          <cell r="AF10">
            <v>365</v>
          </cell>
          <cell r="AG10">
            <v>366</v>
          </cell>
          <cell r="AH10">
            <v>365</v>
          </cell>
          <cell r="AI10">
            <v>365</v>
          </cell>
          <cell r="AJ10">
            <v>365</v>
          </cell>
          <cell r="AK10">
            <v>366</v>
          </cell>
          <cell r="AL10">
            <v>365</v>
          </cell>
          <cell r="AM10">
            <v>365</v>
          </cell>
          <cell r="AN10">
            <v>365</v>
          </cell>
          <cell r="AO10">
            <v>366</v>
          </cell>
          <cell r="AP10">
            <v>365</v>
          </cell>
          <cell r="AQ10">
            <v>365</v>
          </cell>
          <cell r="AR10">
            <v>365</v>
          </cell>
          <cell r="AS10">
            <v>366</v>
          </cell>
          <cell r="AT10">
            <v>365</v>
          </cell>
          <cell r="AU10">
            <v>365</v>
          </cell>
          <cell r="AV10">
            <v>365</v>
          </cell>
          <cell r="AW10">
            <v>366</v>
          </cell>
          <cell r="AX10">
            <v>365</v>
          </cell>
          <cell r="AY10">
            <v>365</v>
          </cell>
          <cell r="AZ10">
            <v>-56614</v>
          </cell>
        </row>
        <row r="12">
          <cell r="F12">
            <v>1</v>
          </cell>
          <cell r="G12">
            <v>1</v>
          </cell>
          <cell r="H12">
            <v>1</v>
          </cell>
          <cell r="I12">
            <v>1.022</v>
          </cell>
          <cell r="J12">
            <v>1.044484</v>
          </cell>
          <cell r="K12">
            <v>1.067462648</v>
          </cell>
          <cell r="L12">
            <v>1.090946826256</v>
          </cell>
          <cell r="M12">
            <v>1.114947656433632</v>
          </cell>
          <cell r="N12">
            <v>1.1372466095623046</v>
          </cell>
          <cell r="O12">
            <v>1.1599915417535507</v>
          </cell>
          <cell r="P12">
            <v>1.1831913725886216</v>
          </cell>
          <cell r="Q12">
            <v>1.206855200040394</v>
          </cell>
          <cell r="R12">
            <v>1.2309923040412019</v>
          </cell>
          <cell r="S12">
            <v>1.2556121501220259</v>
          </cell>
          <cell r="T12">
            <v>1.2807243931244665</v>
          </cell>
          <cell r="U12">
            <v>1.3063388809869558</v>
          </cell>
          <cell r="V12">
            <v>1.332465658606695</v>
          </cell>
          <cell r="W12">
            <v>1.3591149717788289</v>
          </cell>
          <cell r="X12">
            <v>1.3862972712144055</v>
          </cell>
          <cell r="Y12">
            <v>1.4140232166386937</v>
          </cell>
          <cell r="Z12">
            <v>1.4423036809714675</v>
          </cell>
          <cell r="AA12">
            <v>1.4711497545908969</v>
          </cell>
          <cell r="AB12">
            <v>1.5005727496827148</v>
          </cell>
          <cell r="AC12">
            <v>1.5305842046763691</v>
          </cell>
          <cell r="AD12">
            <v>1.5611958887698965</v>
          </cell>
          <cell r="AE12">
            <v>1.5924198065452944</v>
          </cell>
          <cell r="AF12">
            <v>1.6242682026762003</v>
          </cell>
          <cell r="AG12">
            <v>1.6567535667297244</v>
          </cell>
          <cell r="AH12">
            <v>1.689888638064319</v>
          </cell>
          <cell r="AI12">
            <v>1.7236864108256054</v>
          </cell>
          <cell r="AJ12">
            <v>1.7581601390421175</v>
          </cell>
          <cell r="AK12">
            <v>1.7933233418229599</v>
          </cell>
          <cell r="AL12">
            <v>1.832776455343065</v>
          </cell>
          <cell r="AM12">
            <v>1.8730975373606125</v>
          </cell>
          <cell r="AN12">
            <v>1.914305683182546</v>
          </cell>
          <cell r="AO12">
            <v>1.956420408212562</v>
          </cell>
          <cell r="AP12">
            <v>1.9994616571932384</v>
          </cell>
          <cell r="AQ12">
            <v>2.0434498136514896</v>
          </cell>
          <cell r="AR12">
            <v>2.0884057095518225</v>
          </cell>
          <cell r="AS12">
            <v>2.1343506351619626</v>
          </cell>
          <cell r="AT12">
            <v>2.1813063491355256</v>
          </cell>
          <cell r="AU12">
            <v>2.2292950888165071</v>
          </cell>
          <cell r="AV12">
            <v>2.2783395807704703</v>
          </cell>
          <cell r="AW12">
            <v>2.3284630515474207</v>
          </cell>
          <cell r="AX12">
            <v>2.3796892386814639</v>
          </cell>
          <cell r="AY12">
            <v>2.4320424019324562</v>
          </cell>
          <cell r="AZ12">
            <v>2.4855473347749704</v>
          </cell>
        </row>
        <row r="13">
          <cell r="F13">
            <v>0.96225044864937614</v>
          </cell>
          <cell r="G13">
            <v>0.89097263763831136</v>
          </cell>
          <cell r="H13">
            <v>0.82497466447991774</v>
          </cell>
          <cell r="I13">
            <v>0.76386543007399788</v>
          </cell>
          <cell r="J13">
            <v>0.70728280562407209</v>
          </cell>
          <cell r="K13">
            <v>0.65489148668895558</v>
          </cell>
          <cell r="L13">
            <v>0.60638100619347735</v>
          </cell>
          <cell r="M13">
            <v>0.56146389462359003</v>
          </cell>
          <cell r="N13">
            <v>0.51987397650332412</v>
          </cell>
          <cell r="O13">
            <v>0.48136479305863344</v>
          </cell>
          <cell r="P13">
            <v>0.44570814172095685</v>
          </cell>
          <cell r="Q13">
            <v>0.41269272381570077</v>
          </cell>
          <cell r="R13">
            <v>0.38212289242194514</v>
          </cell>
          <cell r="S13">
            <v>0.35381749298328247</v>
          </cell>
          <cell r="T13">
            <v>0.32760878979933561</v>
          </cell>
          <cell r="U13">
            <v>0.30334147203642187</v>
          </cell>
          <cell r="V13">
            <v>0.28087173336705723</v>
          </cell>
          <cell r="W13">
            <v>0.26006641978431222</v>
          </cell>
          <cell r="X13">
            <v>0.24080224054102983</v>
          </cell>
          <cell r="Y13">
            <v>0.2229650375379906</v>
          </cell>
          <cell r="Z13">
            <v>0.20644910883147274</v>
          </cell>
          <cell r="AA13">
            <v>0.19115658225136364</v>
          </cell>
          <cell r="AB13">
            <v>0.17699683541792929</v>
          </cell>
          <cell r="AC13">
            <v>0.1638859587203049</v>
          </cell>
          <cell r="AD13">
            <v>0.15174625807435635</v>
          </cell>
          <cell r="AE13">
            <v>0.1405057945132929</v>
          </cell>
          <cell r="AF13">
            <v>0.13009795788267858</v>
          </cell>
          <cell r="AG13">
            <v>0.12046107211359131</v>
          </cell>
          <cell r="AH13">
            <v>0.11153802973480675</v>
          </cell>
          <cell r="AI13">
            <v>0.10327595345815441</v>
          </cell>
          <cell r="AJ13">
            <v>9.5625882831624431E-2</v>
          </cell>
          <cell r="AK13">
            <v>8.854248410335594E-2</v>
          </cell>
          <cell r="AL13">
            <v>8.1983781577181447E-2</v>
          </cell>
          <cell r="AM13">
            <v>7.5910908867760571E-2</v>
          </cell>
          <cell r="AN13">
            <v>7.0287878581259775E-2</v>
          </cell>
          <cell r="AO13">
            <v>6.508136905672203E-2</v>
          </cell>
          <cell r="AP13">
            <v>6.0260526904372232E-2</v>
          </cell>
          <cell r="AQ13">
            <v>5.5796784170715041E-2</v>
          </cell>
          <cell r="AR13">
            <v>5.166368904695836E-2</v>
          </cell>
          <cell r="AS13">
            <v>4.7836749117554027E-2</v>
          </cell>
          <cell r="AT13">
            <v>4.4293286219957442E-2</v>
          </cell>
          <cell r="AU13">
            <v>4.1012302055516141E-2</v>
          </cell>
          <cell r="AV13">
            <v>3.7974353755107527E-2</v>
          </cell>
          <cell r="AW13">
            <v>3.5161438662136606E-2</v>
          </cell>
          <cell r="AX13">
            <v>3.255688765012648E-2</v>
          </cell>
          <cell r="AY13">
            <v>3.0145266342709708E-2</v>
          </cell>
          <cell r="AZ13">
            <v>2.7912283650657132E-2</v>
          </cell>
        </row>
        <row r="62">
          <cell r="F62">
            <v>0</v>
          </cell>
          <cell r="G62">
            <v>0</v>
          </cell>
          <cell r="H62">
            <v>0</v>
          </cell>
          <cell r="I62">
            <v>0</v>
          </cell>
          <cell r="J62">
            <v>0</v>
          </cell>
          <cell r="K62">
            <v>0.75339999999999996</v>
          </cell>
          <cell r="L62">
            <v>1</v>
          </cell>
          <cell r="M62">
            <v>1</v>
          </cell>
          <cell r="N62">
            <v>1</v>
          </cell>
          <cell r="O62">
            <v>1</v>
          </cell>
          <cell r="P62">
            <v>1</v>
          </cell>
          <cell r="Q62">
            <v>1</v>
          </cell>
          <cell r="R62">
            <v>1</v>
          </cell>
          <cell r="S62">
            <v>1</v>
          </cell>
          <cell r="T62">
            <v>1</v>
          </cell>
          <cell r="U62">
            <v>1</v>
          </cell>
          <cell r="V62">
            <v>1</v>
          </cell>
          <cell r="W62">
            <v>1</v>
          </cell>
          <cell r="X62">
            <v>1</v>
          </cell>
          <cell r="Y62">
            <v>1</v>
          </cell>
          <cell r="Z62">
            <v>1</v>
          </cell>
          <cell r="AA62">
            <v>1</v>
          </cell>
          <cell r="AB62">
            <v>1</v>
          </cell>
          <cell r="AC62">
            <v>1</v>
          </cell>
          <cell r="AD62">
            <v>1</v>
          </cell>
          <cell r="AE62">
            <v>1</v>
          </cell>
          <cell r="AF62">
            <v>1</v>
          </cell>
          <cell r="AG62">
            <v>1</v>
          </cell>
          <cell r="AH62">
            <v>1</v>
          </cell>
          <cell r="AI62">
            <v>1</v>
          </cell>
          <cell r="AJ62">
            <v>1</v>
          </cell>
          <cell r="AK62">
            <v>1</v>
          </cell>
          <cell r="AL62">
            <v>1</v>
          </cell>
          <cell r="AM62">
            <v>1</v>
          </cell>
          <cell r="AN62">
            <v>1</v>
          </cell>
          <cell r="AO62">
            <v>0.24931506849315069</v>
          </cell>
          <cell r="AP62">
            <v>0</v>
          </cell>
          <cell r="AQ62">
            <v>0</v>
          </cell>
          <cell r="AR62">
            <v>0</v>
          </cell>
          <cell r="AS62">
            <v>0</v>
          </cell>
          <cell r="AT62">
            <v>0</v>
          </cell>
          <cell r="AU62">
            <v>0</v>
          </cell>
          <cell r="AV62">
            <v>0</v>
          </cell>
          <cell r="AW62">
            <v>0</v>
          </cell>
          <cell r="AX62">
            <v>0</v>
          </cell>
          <cell r="AY62">
            <v>0</v>
          </cell>
          <cell r="AZ62">
            <v>0</v>
          </cell>
        </row>
      </sheetData>
      <sheetData sheetId="3">
        <row r="2">
          <cell r="C2">
            <v>464.35824642518122</v>
          </cell>
        </row>
      </sheetData>
      <sheetData sheetId="4" refreshError="1"/>
      <sheetData sheetId="5" refreshError="1"/>
      <sheetData sheetId="6">
        <row r="3">
          <cell r="AF3" t="str">
            <v>NPV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3"/>
      <sheetName val="1"/>
      <sheetName val="data"/>
    </sheetNames>
    <sheetDataSet>
      <sheetData sheetId="0" refreshError="1"/>
      <sheetData sheetId="1">
        <row r="3">
          <cell r="R3">
            <v>-9.4</v>
          </cell>
        </row>
        <row r="4">
          <cell r="R4">
            <v>-7</v>
          </cell>
        </row>
        <row r="5">
          <cell r="R5">
            <v>-5.9</v>
          </cell>
        </row>
        <row r="6">
          <cell r="R6">
            <v>-5.7</v>
          </cell>
        </row>
        <row r="7">
          <cell r="R7">
            <v>-5.4</v>
          </cell>
        </row>
        <row r="8">
          <cell r="R8">
            <v>-5.3</v>
          </cell>
        </row>
        <row r="9">
          <cell r="R9">
            <v>-4.8</v>
          </cell>
        </row>
        <row r="10">
          <cell r="R10">
            <v>-4.5</v>
          </cell>
        </row>
        <row r="11">
          <cell r="R11">
            <v>-4.4000000000000004</v>
          </cell>
        </row>
        <row r="12">
          <cell r="R12">
            <v>-3.8</v>
          </cell>
        </row>
        <row r="13">
          <cell r="R13">
            <v>-3.8</v>
          </cell>
        </row>
        <row r="14">
          <cell r="R14">
            <v>-3.5</v>
          </cell>
        </row>
        <row r="15">
          <cell r="R15">
            <v>-3.3</v>
          </cell>
        </row>
        <row r="16">
          <cell r="R16">
            <v>-3.1</v>
          </cell>
        </row>
        <row r="17">
          <cell r="R17">
            <v>-3.1</v>
          </cell>
        </row>
        <row r="18">
          <cell r="R18">
            <v>-2.6</v>
          </cell>
        </row>
        <row r="19">
          <cell r="R19">
            <v>-2.5</v>
          </cell>
        </row>
        <row r="20">
          <cell r="R20">
            <v>-2.5</v>
          </cell>
        </row>
        <row r="21">
          <cell r="R21">
            <v>-2.1</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
      <sheetName val="Model"/>
      <sheetName val="Value"/>
      <sheetName val="Yearly Profile kWh"/>
      <sheetName val="Cashflow model"/>
      <sheetName val="Sheet2"/>
      <sheetName val="Sheet1"/>
    </sheetNames>
    <sheetDataSet>
      <sheetData sheetId="0"/>
      <sheetData sheetId="1"/>
      <sheetData sheetId="2"/>
      <sheetData sheetId="3">
        <row r="5">
          <cell r="A5" t="str">
            <v>Injection</v>
          </cell>
        </row>
        <row r="6">
          <cell r="A6" t="str">
            <v>Withdrawal</v>
          </cell>
        </row>
        <row r="7">
          <cell r="A7" t="str">
            <v>Zero Flow</v>
          </cell>
        </row>
      </sheetData>
      <sheetData sheetId="4">
        <row r="29">
          <cell r="E29" t="str">
            <v>Original Working capital</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ments matrix"/>
      <sheetName val="Calculations Credit check"/>
      <sheetName val="SSSA paragraph Credit check"/>
      <sheetName val="Allocation"/>
      <sheetName val="Rules"/>
      <sheetName val="1. RH_Normal"/>
      <sheetName val="2. RH_Maintenance|Outage"/>
      <sheetName val="3. RH_Interruptible Cap."/>
      <sheetName val="3a. RH_Interruptible cap."/>
      <sheetName val="3b. RH_Interruptible cap."/>
      <sheetName val="4. Interruptible Space"/>
      <sheetName val="Invoice LI calculation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Constants"/>
      <sheetName val="Asset"/>
      <sheetName val="Contracts"/>
      <sheetName val="Sheet1"/>
    </sheetNames>
    <sheetDataSet>
      <sheetData sheetId="0"/>
      <sheetData sheetId="1">
        <row r="11">
          <cell r="C11">
            <v>40.6</v>
          </cell>
        </row>
      </sheetData>
      <sheetData sheetId="2">
        <row r="4">
          <cell r="W4" t="str">
            <v>Dev Scenario 6j corr model.xls</v>
          </cell>
        </row>
        <row r="5">
          <cell r="W5" t="str">
            <v>Dev Scenario 1j corr model.xls</v>
          </cell>
        </row>
        <row r="22">
          <cell r="C22">
            <v>31</v>
          </cell>
          <cell r="I22">
            <v>51</v>
          </cell>
        </row>
        <row r="23">
          <cell r="C23">
            <v>63</v>
          </cell>
          <cell r="I23">
            <v>58</v>
          </cell>
        </row>
        <row r="48">
          <cell r="C48">
            <v>642831440.88925028</v>
          </cell>
          <cell r="D48">
            <v>47933985066.710922</v>
          </cell>
          <cell r="I48">
            <v>473666698.7268731</v>
          </cell>
          <cell r="J48">
            <v>48165036573.247887</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
  <sheetViews>
    <sheetView zoomScaleNormal="100" workbookViewId="0">
      <selection activeCell="E4" sqref="E4"/>
    </sheetView>
  </sheetViews>
  <sheetFormatPr defaultRowHeight="12.75"/>
  <cols>
    <col min="1" max="16384" width="9.140625" style="11"/>
  </cols>
  <sheetData/>
  <sheetProtection password="DBBB" sheet="1" objects="1" scenarios="1"/>
  <phoneticPr fontId="9" type="noConversion"/>
  <pageMargins left="0.75" right="0.75" top="1" bottom="1" header="0.5" footer="0.5"/>
  <pageSetup paperSize="9" scale="55" orientation="portrait" r:id="rId1"/>
  <headerFooter alignWithMargins="0"/>
  <colBreaks count="1" manualBreakCount="1">
    <brk id="17"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1"/>
    <pageSetUpPr fitToPage="1"/>
  </sheetPr>
  <dimension ref="B2:O54"/>
  <sheetViews>
    <sheetView defaultGridColor="0" colorId="55" zoomScaleNormal="100" workbookViewId="0">
      <selection activeCell="M29" sqref="M29"/>
    </sheetView>
  </sheetViews>
  <sheetFormatPr defaultColWidth="8" defaultRowHeight="12.75"/>
  <cols>
    <col min="1" max="1" width="2.7109375" style="1" customWidth="1"/>
    <col min="2" max="2" width="37.28515625" style="1" bestFit="1" customWidth="1"/>
    <col min="3" max="4" width="18.28515625" style="1" customWidth="1"/>
    <col min="5" max="5" width="1.85546875" style="1" customWidth="1"/>
    <col min="6" max="6" width="2.85546875" style="1" customWidth="1"/>
    <col min="7" max="7" width="33.5703125" style="1" customWidth="1"/>
    <col min="8" max="8" width="18.28515625" style="1" customWidth="1"/>
    <col min="9" max="9" width="15" style="1" customWidth="1"/>
    <col min="10" max="10" width="1.7109375" style="1" customWidth="1"/>
    <col min="11" max="11" width="9.140625" style="1" customWidth="1"/>
    <col min="12" max="12" width="40.42578125" style="1" bestFit="1" customWidth="1"/>
    <col min="13" max="14" width="19.28515625" style="1" customWidth="1"/>
    <col min="15" max="15" width="1.7109375" style="1" customWidth="1"/>
    <col min="16" max="16384" width="8" style="1"/>
  </cols>
  <sheetData>
    <row r="2" spans="2:10">
      <c r="B2" s="248" t="s">
        <v>105</v>
      </c>
    </row>
    <row r="3" spans="2:10">
      <c r="B3" s="248" t="s">
        <v>106</v>
      </c>
    </row>
    <row r="10" spans="2:10" ht="75" customHeight="1"/>
    <row r="11" spans="2:10" ht="13.5" thickBot="1"/>
    <row r="12" spans="2:10" ht="13.5" thickBot="1">
      <c r="B12" s="124" t="s">
        <v>112</v>
      </c>
      <c r="C12" s="125"/>
      <c r="D12" s="125"/>
      <c r="E12" s="126"/>
      <c r="G12" s="124" t="s">
        <v>111</v>
      </c>
      <c r="H12" s="125"/>
      <c r="I12" s="125"/>
      <c r="J12" s="126"/>
    </row>
    <row r="13" spans="2:10" ht="13.5" thickBot="1"/>
    <row r="14" spans="2:10" ht="13.5" thickBot="1">
      <c r="B14" s="117" t="s">
        <v>27</v>
      </c>
      <c r="C14" s="118"/>
      <c r="G14" s="117" t="s">
        <v>103</v>
      </c>
      <c r="H14" s="118"/>
    </row>
    <row r="15" spans="2:10">
      <c r="B15" s="39" t="s">
        <v>28</v>
      </c>
      <c r="C15" s="33"/>
      <c r="D15" s="229">
        <v>0.42699999999999999</v>
      </c>
      <c r="E15" s="34"/>
      <c r="G15" s="39"/>
      <c r="H15" s="33"/>
      <c r="I15" s="33"/>
      <c r="J15" s="14"/>
    </row>
    <row r="16" spans="2:10">
      <c r="B16" s="31" t="s">
        <v>29</v>
      </c>
      <c r="C16" s="32"/>
      <c r="D16" s="230">
        <v>0.57899999999999996</v>
      </c>
      <c r="E16" s="35"/>
      <c r="G16" s="115" t="s">
        <v>37</v>
      </c>
      <c r="H16" s="241" t="s">
        <v>105</v>
      </c>
      <c r="I16" s="32" t="s">
        <v>38</v>
      </c>
      <c r="J16" s="17"/>
    </row>
    <row r="17" spans="2:15" ht="13.5" thickBot="1">
      <c r="B17" s="36" t="s">
        <v>30</v>
      </c>
      <c r="C17" s="37"/>
      <c r="D17" s="231">
        <v>1000</v>
      </c>
      <c r="E17" s="38"/>
      <c r="G17" s="127" t="s">
        <v>31</v>
      </c>
      <c r="H17" s="235">
        <v>500000</v>
      </c>
      <c r="I17" s="32"/>
      <c r="J17" s="17"/>
    </row>
    <row r="18" spans="2:15" ht="13.5" thickBot="1">
      <c r="G18" s="119" t="s">
        <v>108</v>
      </c>
      <c r="H18" s="128">
        <v>42095.25</v>
      </c>
      <c r="I18" s="16"/>
      <c r="J18" s="17"/>
    </row>
    <row r="19" spans="2:15" ht="13.5" thickBot="1">
      <c r="B19" s="117" t="s">
        <v>99</v>
      </c>
      <c r="C19" s="118"/>
      <c r="G19" s="119" t="s">
        <v>109</v>
      </c>
      <c r="H19" s="128">
        <v>42461.25</v>
      </c>
      <c r="I19" s="16"/>
      <c r="J19" s="17"/>
    </row>
    <row r="20" spans="2:15" ht="13.5" thickBot="1">
      <c r="B20" s="111" t="s">
        <v>205</v>
      </c>
      <c r="C20" s="112"/>
      <c r="D20" s="240">
        <v>5</v>
      </c>
      <c r="E20" s="113"/>
      <c r="G20" s="36"/>
      <c r="H20" s="37"/>
      <c r="I20" s="37"/>
      <c r="J20" s="20"/>
    </row>
    <row r="22" spans="2:15" ht="13.5" thickBot="1"/>
    <row r="23" spans="2:15" ht="13.5" thickBot="1">
      <c r="G23" s="117" t="s">
        <v>104</v>
      </c>
      <c r="H23" s="118"/>
    </row>
    <row r="24" spans="2:15" ht="13.5" thickBot="1">
      <c r="B24" s="117" t="s">
        <v>98</v>
      </c>
      <c r="C24" s="118"/>
      <c r="G24" s="39"/>
      <c r="H24" s="33"/>
      <c r="I24" s="33"/>
      <c r="J24" s="14"/>
    </row>
    <row r="25" spans="2:15" ht="13.5" thickBot="1">
      <c r="B25" s="39"/>
      <c r="C25" s="33"/>
      <c r="D25" s="33"/>
      <c r="E25" s="34"/>
      <c r="G25" s="115" t="s">
        <v>37</v>
      </c>
      <c r="H25" s="241" t="s">
        <v>106</v>
      </c>
      <c r="I25" s="32" t="s">
        <v>38</v>
      </c>
      <c r="J25" s="17"/>
    </row>
    <row r="26" spans="2:15" ht="13.5" thickBot="1">
      <c r="B26" s="31"/>
      <c r="C26" s="110" t="s">
        <v>37</v>
      </c>
      <c r="D26" s="110" t="s">
        <v>38</v>
      </c>
      <c r="E26" s="35"/>
      <c r="G26" s="127" t="s">
        <v>28</v>
      </c>
      <c r="H26" s="235">
        <v>200000</v>
      </c>
      <c r="I26" s="109"/>
      <c r="J26" s="17"/>
      <c r="L26" s="117" t="s">
        <v>100</v>
      </c>
      <c r="M26" s="118"/>
    </row>
    <row r="27" spans="2:15">
      <c r="B27" s="31" t="s">
        <v>31</v>
      </c>
      <c r="C27" s="235">
        <v>1000000</v>
      </c>
      <c r="D27" s="235">
        <v>2000000</v>
      </c>
      <c r="E27" s="35"/>
      <c r="G27" s="119" t="s">
        <v>108</v>
      </c>
      <c r="H27" s="128">
        <v>42095.25</v>
      </c>
      <c r="I27" s="16"/>
      <c r="J27" s="17"/>
      <c r="L27" s="12"/>
      <c r="M27" s="13"/>
      <c r="N27" s="13"/>
      <c r="O27" s="14"/>
    </row>
    <row r="28" spans="2:15">
      <c r="B28" s="15" t="s">
        <v>108</v>
      </c>
      <c r="C28" s="128">
        <v>42095.25</v>
      </c>
      <c r="D28" s="128">
        <v>42095.25</v>
      </c>
      <c r="E28" s="17"/>
      <c r="G28" s="119" t="s">
        <v>109</v>
      </c>
      <c r="H28" s="128">
        <v>42461.25</v>
      </c>
      <c r="I28" s="16"/>
      <c r="J28" s="17"/>
      <c r="L28" s="31"/>
      <c r="M28" s="110" t="s">
        <v>37</v>
      </c>
      <c r="N28" s="110" t="s">
        <v>38</v>
      </c>
      <c r="O28" s="35"/>
    </row>
    <row r="29" spans="2:15">
      <c r="B29" s="15" t="s">
        <v>109</v>
      </c>
      <c r="C29" s="128">
        <v>42461.25</v>
      </c>
      <c r="D29" s="128">
        <f>C29</f>
        <v>42461.25</v>
      </c>
      <c r="E29" s="17"/>
      <c r="G29" s="31"/>
      <c r="H29" s="32"/>
      <c r="I29" s="32"/>
      <c r="J29" s="17"/>
      <c r="L29" s="31" t="s">
        <v>17</v>
      </c>
      <c r="M29" s="95">
        <f>C31+IF(H16="Buys From",H17*D15,-H17*D15)+IF(H25="Buys From",H26,-H26)</f>
        <v>440500</v>
      </c>
      <c r="N29" s="95">
        <f>D31+IF(H16="Buys From",-H17*D15,H17*D15)+IF(H25="Buys From",-H26,H26)</f>
        <v>840500</v>
      </c>
      <c r="O29" s="17"/>
    </row>
    <row r="30" spans="2:15">
      <c r="B30" s="31"/>
      <c r="C30" s="16"/>
      <c r="D30" s="16"/>
      <c r="E30" s="17"/>
      <c r="G30" s="115" t="s">
        <v>37</v>
      </c>
      <c r="H30" s="241" t="s">
        <v>105</v>
      </c>
      <c r="I30" s="32" t="s">
        <v>38</v>
      </c>
      <c r="J30" s="17"/>
      <c r="L30" s="31" t="s">
        <v>209</v>
      </c>
      <c r="M30" s="95">
        <f>C32+IF(H16="Buys From",H17*D16,-H17*D16)+IF(H30="Buys From",H31,-H31)</f>
        <v>1118500</v>
      </c>
      <c r="N30" s="95">
        <f>D32+IF(H16="Buys From",-H17*D16,H17*D16)+IF(H30="Buys From",-H31,H31)</f>
        <v>618500</v>
      </c>
      <c r="O30" s="17"/>
    </row>
    <row r="31" spans="2:15">
      <c r="B31" s="31" t="s">
        <v>206</v>
      </c>
      <c r="C31" s="95">
        <f t="shared" ref="C31:D33" si="0">C$27*$D15</f>
        <v>427000</v>
      </c>
      <c r="D31" s="95">
        <f t="shared" si="0"/>
        <v>854000</v>
      </c>
      <c r="E31" s="17"/>
      <c r="G31" s="127" t="s">
        <v>29</v>
      </c>
      <c r="H31" s="235">
        <v>250000</v>
      </c>
      <c r="I31" s="109"/>
      <c r="J31" s="17"/>
      <c r="L31" s="31" t="s">
        <v>18</v>
      </c>
      <c r="M31" s="95">
        <f>C33+IF(H16="Buys From",H17*D17,-H17*D17)+IF(H35="Buys From",H36,-H36)</f>
        <v>1500000000</v>
      </c>
      <c r="N31" s="95">
        <f>D33+IF(H16="Buys From",-H17*D17,H17*D17)+IF(H35="Buys From",-H36,H36)</f>
        <v>1500000000</v>
      </c>
      <c r="O31" s="17"/>
    </row>
    <row r="32" spans="2:15">
      <c r="B32" s="31" t="s">
        <v>207</v>
      </c>
      <c r="C32" s="95">
        <f t="shared" si="0"/>
        <v>579000</v>
      </c>
      <c r="D32" s="95">
        <f t="shared" si="0"/>
        <v>1158000</v>
      </c>
      <c r="E32" s="17"/>
      <c r="G32" s="119" t="s">
        <v>108</v>
      </c>
      <c r="H32" s="128">
        <v>42095.25</v>
      </c>
      <c r="I32" s="16"/>
      <c r="J32" s="17"/>
      <c r="L32" s="15"/>
      <c r="M32" s="16"/>
      <c r="N32" s="16"/>
      <c r="O32" s="17"/>
    </row>
    <row r="33" spans="2:15">
      <c r="B33" s="31" t="s">
        <v>208</v>
      </c>
      <c r="C33" s="95">
        <f t="shared" si="0"/>
        <v>1000000000</v>
      </c>
      <c r="D33" s="95">
        <f t="shared" si="0"/>
        <v>2000000000</v>
      </c>
      <c r="E33" s="17"/>
      <c r="G33" s="119" t="s">
        <v>109</v>
      </c>
      <c r="H33" s="128">
        <v>42461.25</v>
      </c>
      <c r="I33" s="16"/>
      <c r="J33" s="17"/>
      <c r="L33" s="15" t="s">
        <v>108</v>
      </c>
      <c r="M33" s="128">
        <v>42095.25</v>
      </c>
      <c r="N33" s="128">
        <v>42095.25</v>
      </c>
      <c r="O33" s="17"/>
    </row>
    <row r="34" spans="2:15" ht="13.5" thickBot="1">
      <c r="B34" s="36"/>
      <c r="C34" s="19"/>
      <c r="D34" s="19"/>
      <c r="E34" s="20"/>
      <c r="G34" s="31"/>
      <c r="H34" s="32"/>
      <c r="I34" s="32"/>
      <c r="J34" s="17"/>
      <c r="L34" s="15" t="s">
        <v>109</v>
      </c>
      <c r="M34" s="128">
        <v>42461.25</v>
      </c>
      <c r="N34" s="128">
        <f>M34</f>
        <v>42461.25</v>
      </c>
      <c r="O34" s="17"/>
    </row>
    <row r="35" spans="2:15" ht="13.5" thickBot="1">
      <c r="G35" s="115" t="s">
        <v>37</v>
      </c>
      <c r="H35" s="241" t="s">
        <v>106</v>
      </c>
      <c r="I35" s="32" t="s">
        <v>38</v>
      </c>
      <c r="J35" s="17"/>
      <c r="L35" s="36"/>
      <c r="M35" s="19"/>
      <c r="N35" s="19"/>
      <c r="O35" s="20"/>
    </row>
    <row r="36" spans="2:15">
      <c r="G36" s="127" t="s">
        <v>30</v>
      </c>
      <c r="H36" s="235">
        <v>0</v>
      </c>
      <c r="I36" s="109"/>
      <c r="J36" s="17"/>
    </row>
    <row r="37" spans="2:15">
      <c r="G37" s="119" t="s">
        <v>108</v>
      </c>
      <c r="H37" s="242">
        <v>42095.25</v>
      </c>
      <c r="I37" s="16"/>
      <c r="J37" s="17"/>
    </row>
    <row r="38" spans="2:15">
      <c r="G38" s="119" t="s">
        <v>109</v>
      </c>
      <c r="H38" s="128">
        <v>42461.25</v>
      </c>
      <c r="I38" s="16"/>
      <c r="J38" s="17"/>
    </row>
    <row r="39" spans="2:15" ht="13.5" thickBot="1">
      <c r="G39" s="36"/>
      <c r="H39" s="37"/>
      <c r="I39" s="37"/>
      <c r="J39" s="20"/>
    </row>
    <row r="41" spans="2:15" ht="13.5" thickBot="1">
      <c r="G41" s="8"/>
      <c r="H41" s="114"/>
      <c r="I41" s="8"/>
    </row>
    <row r="42" spans="2:15" ht="13.5" thickBot="1">
      <c r="B42" s="8"/>
      <c r="C42" s="8"/>
      <c r="D42" s="8"/>
      <c r="E42" s="8"/>
      <c r="F42" s="8"/>
      <c r="G42" s="117" t="s">
        <v>107</v>
      </c>
      <c r="H42" s="118"/>
      <c r="I42" s="116"/>
    </row>
    <row r="43" spans="2:15">
      <c r="F43" s="8"/>
      <c r="G43" s="39"/>
      <c r="H43" s="33"/>
      <c r="I43" s="33"/>
      <c r="J43" s="14"/>
    </row>
    <row r="44" spans="2:15">
      <c r="F44" s="8"/>
      <c r="G44" s="115" t="s">
        <v>37</v>
      </c>
      <c r="H44" s="241" t="s">
        <v>105</v>
      </c>
      <c r="I44" s="32" t="s">
        <v>38</v>
      </c>
      <c r="J44" s="17"/>
    </row>
    <row r="45" spans="2:15">
      <c r="F45" s="8"/>
      <c r="G45" s="127" t="s">
        <v>215</v>
      </c>
      <c r="H45" s="235">
        <v>1000000</v>
      </c>
      <c r="I45" s="109"/>
      <c r="J45" s="17"/>
    </row>
    <row r="46" spans="2:15">
      <c r="F46" s="8"/>
      <c r="G46" s="115" t="s">
        <v>113</v>
      </c>
      <c r="H46" s="32"/>
      <c r="I46" s="32"/>
      <c r="J46" s="35"/>
    </row>
    <row r="47" spans="2:15" ht="13.5" thickBot="1">
      <c r="F47" s="8"/>
      <c r="G47" s="18"/>
      <c r="H47" s="19"/>
      <c r="I47" s="19"/>
      <c r="J47" s="20"/>
    </row>
    <row r="48" spans="2:15">
      <c r="F48" s="8"/>
    </row>
    <row r="49" spans="6:6">
      <c r="F49" s="8"/>
    </row>
    <row r="50" spans="6:6">
      <c r="F50" s="8"/>
    </row>
    <row r="51" spans="6:6">
      <c r="F51" s="8"/>
    </row>
    <row r="52" spans="6:6">
      <c r="F52" s="8"/>
    </row>
    <row r="53" spans="6:6">
      <c r="F53" s="8"/>
    </row>
    <row r="54" spans="6:6">
      <c r="F54" s="8"/>
    </row>
  </sheetData>
  <sheetProtection password="DBBB" sheet="1" objects="1" scenarios="1"/>
  <phoneticPr fontId="0" type="noConversion"/>
  <conditionalFormatting sqref="M29:N31">
    <cfRule type="cellIs" dxfId="8" priority="1" stopIfTrue="1" operator="lessThan">
      <formula>0</formula>
    </cfRule>
  </conditionalFormatting>
  <dataValidations count="2">
    <dataValidation type="list" allowBlank="1" showInputMessage="1" showErrorMessage="1" sqref="H44 H16 H25 H30 H35">
      <formula1>$B$2:$B$3</formula1>
    </dataValidation>
    <dataValidation type="whole" operator="greaterThanOrEqual" allowBlank="1" showInputMessage="1" showErrorMessage="1" sqref="H31 H17 H26 H36 H45">
      <formula1>0</formula1>
    </dataValidation>
  </dataValidations>
  <pageMargins left="0.38" right="0.75" top="0.54" bottom="0.49" header="0.5" footer="0.5"/>
  <pageSetup paperSize="9" scale="66"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2"/>
    <pageSetUpPr fitToPage="1"/>
  </sheetPr>
  <dimension ref="G14"/>
  <sheetViews>
    <sheetView defaultGridColor="0" colorId="55" zoomScaleNormal="100" workbookViewId="0">
      <selection activeCell="J8" sqref="J8"/>
    </sheetView>
  </sheetViews>
  <sheetFormatPr defaultRowHeight="12.75"/>
  <cols>
    <col min="1" max="1" width="2.85546875" style="1" customWidth="1"/>
    <col min="2" max="2" width="3" style="1" customWidth="1"/>
    <col min="3" max="3" width="9.140625" style="1"/>
    <col min="4" max="4" width="32.85546875" style="1" bestFit="1" customWidth="1"/>
    <col min="5" max="5" width="14" style="1" bestFit="1" customWidth="1"/>
    <col min="6" max="6" width="11" style="1" bestFit="1" customWidth="1"/>
    <col min="7" max="8" width="9.140625" style="1"/>
    <col min="9" max="9" width="3" style="1" customWidth="1"/>
    <col min="10" max="16384" width="9.140625" style="1"/>
  </cols>
  <sheetData>
    <row r="14" spans="7:7">
      <c r="G14" s="2"/>
    </row>
  </sheetData>
  <sheetProtection password="DBBB" sheet="1" objects="1" scenarios="1"/>
  <phoneticPr fontId="0" type="noConversion"/>
  <pageMargins left="0.26" right="0.4" top="0.52" bottom="0.54" header="0.5" footer="0.5"/>
  <pageSetup paperSize="9" scale="74"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42"/>
    <pageSetUpPr fitToPage="1"/>
  </sheetPr>
  <dimension ref="A1:H42"/>
  <sheetViews>
    <sheetView defaultGridColor="0" colorId="55" zoomScaleNormal="100" workbookViewId="0">
      <selection activeCell="I8" sqref="I8"/>
    </sheetView>
  </sheetViews>
  <sheetFormatPr defaultRowHeight="48" customHeight="1"/>
  <cols>
    <col min="1" max="1" width="2.28515625" style="138" customWidth="1"/>
    <col min="2" max="2" width="39.140625" style="137" customWidth="1"/>
    <col min="3" max="3" width="10.7109375" style="142" customWidth="1"/>
    <col min="4" max="4" width="72" style="139" customWidth="1"/>
    <col min="5" max="5" width="10.7109375" style="139" customWidth="1"/>
    <col min="6" max="6" width="72" style="137" customWidth="1"/>
    <col min="7" max="7" width="10.7109375" style="137" customWidth="1"/>
    <col min="8" max="16384" width="9.140625" style="138"/>
  </cols>
  <sheetData>
    <row r="1" spans="1:8" ht="12.75" customHeight="1">
      <c r="B1" s="194"/>
      <c r="C1" s="143"/>
    </row>
    <row r="2" spans="1:8" ht="12.75" customHeight="1">
      <c r="B2" s="194"/>
      <c r="C2" s="143"/>
      <c r="D2" s="141"/>
      <c r="E2" s="141"/>
    </row>
    <row r="3" spans="1:8" ht="12.75" customHeight="1">
      <c r="B3" s="194"/>
      <c r="C3" s="206"/>
    </row>
    <row r="4" spans="1:8" ht="12.75" customHeight="1">
      <c r="B4" s="138"/>
      <c r="C4" s="4"/>
    </row>
    <row r="5" spans="1:8" ht="12.75" customHeight="1">
      <c r="B5" s="138"/>
      <c r="C5" s="138"/>
    </row>
    <row r="6" spans="1:8" ht="12.75" customHeight="1">
      <c r="B6" s="194"/>
      <c r="C6" s="143"/>
      <c r="D6" s="181" t="s">
        <v>136</v>
      </c>
      <c r="E6" s="245">
        <v>1000000</v>
      </c>
    </row>
    <row r="7" spans="1:8" ht="12.75" customHeight="1">
      <c r="B7" s="194"/>
      <c r="C7" s="143"/>
      <c r="D7" s="181" t="s">
        <v>138</v>
      </c>
      <c r="E7" s="246">
        <v>30</v>
      </c>
    </row>
    <row r="8" spans="1:8" ht="12.75" customHeight="1">
      <c r="B8" s="194"/>
      <c r="C8" s="143"/>
      <c r="D8" s="181" t="s">
        <v>139</v>
      </c>
      <c r="E8" s="246">
        <v>20</v>
      </c>
    </row>
    <row r="9" spans="1:8" ht="12.75" customHeight="1">
      <c r="B9" s="194"/>
      <c r="C9" s="143"/>
    </row>
    <row r="10" spans="1:8" ht="12.75" customHeight="1" thickBot="1">
      <c r="B10" s="194"/>
      <c r="C10" s="143"/>
    </row>
    <row r="11" spans="1:8" ht="12.75" customHeight="1" thickBot="1">
      <c r="B11" s="161"/>
      <c r="C11" s="144"/>
      <c r="D11" s="182" t="s">
        <v>123</v>
      </c>
      <c r="E11" s="161" t="s">
        <v>135</v>
      </c>
      <c r="F11" s="182" t="s">
        <v>124</v>
      </c>
      <c r="G11" s="161" t="s">
        <v>135</v>
      </c>
    </row>
    <row r="12" spans="1:8" s="140" customFormat="1" ht="7.5" customHeight="1" thickBot="1">
      <c r="B12" s="195"/>
      <c r="C12" s="144"/>
      <c r="D12" s="161"/>
      <c r="E12" s="161"/>
      <c r="F12" s="161"/>
      <c r="G12" s="161"/>
    </row>
    <row r="13" spans="1:8" ht="48" customHeight="1" thickBot="1">
      <c r="B13" s="196" t="s">
        <v>165</v>
      </c>
      <c r="C13" s="159"/>
      <c r="D13" s="183" t="s">
        <v>157</v>
      </c>
      <c r="E13" s="148"/>
      <c r="F13" s="183" t="s">
        <v>161</v>
      </c>
      <c r="G13" s="153"/>
      <c r="H13" s="140"/>
    </row>
    <row r="14" spans="1:8" ht="48" customHeight="1" thickBot="1">
      <c r="B14" s="197" t="s">
        <v>133</v>
      </c>
      <c r="C14" s="157"/>
      <c r="D14" s="184" t="s">
        <v>125</v>
      </c>
      <c r="E14" s="145"/>
      <c r="F14" s="192" t="s">
        <v>127</v>
      </c>
      <c r="G14" s="155"/>
      <c r="H14" s="140"/>
    </row>
    <row r="15" spans="1:8" ht="48" customHeight="1" thickBot="1">
      <c r="B15" s="198"/>
      <c r="C15" s="158"/>
      <c r="D15" s="213" t="s">
        <v>172</v>
      </c>
      <c r="E15" s="147"/>
      <c r="F15" s="214" t="s">
        <v>173</v>
      </c>
      <c r="G15" s="155"/>
      <c r="H15" s="140"/>
    </row>
    <row r="16" spans="1:8" ht="12.75" customHeight="1">
      <c r="A16" s="140"/>
      <c r="B16" s="199" t="s">
        <v>140</v>
      </c>
      <c r="C16" s="243">
        <v>-100000</v>
      </c>
      <c r="D16" s="185" t="s">
        <v>1</v>
      </c>
      <c r="E16" s="150">
        <f>C18*E7/1000</f>
        <v>600</v>
      </c>
      <c r="F16" s="185" t="s">
        <v>1</v>
      </c>
      <c r="G16" s="150">
        <f>C18*E8/1000</f>
        <v>400</v>
      </c>
    </row>
    <row r="17" spans="1:8" ht="12.75" customHeight="1" thickBot="1">
      <c r="A17" s="140"/>
      <c r="B17" s="200" t="s">
        <v>141</v>
      </c>
      <c r="C17" s="244">
        <v>-80000</v>
      </c>
      <c r="D17" s="186" t="s">
        <v>137</v>
      </c>
      <c r="E17" s="149">
        <f>E6+C16</f>
        <v>900000</v>
      </c>
      <c r="F17" s="186" t="s">
        <v>137</v>
      </c>
      <c r="G17" s="149">
        <f>E6+C16</f>
        <v>900000</v>
      </c>
    </row>
    <row r="18" spans="1:8" ht="12.75" customHeight="1" thickBot="1">
      <c r="A18" s="140"/>
      <c r="B18" s="201" t="s">
        <v>0</v>
      </c>
      <c r="C18" s="162">
        <f>C17-C16</f>
        <v>20000</v>
      </c>
      <c r="D18" s="187"/>
      <c r="E18" s="151"/>
      <c r="F18" s="191"/>
      <c r="G18" s="151"/>
    </row>
    <row r="19" spans="1:8" ht="12.75" customHeight="1" thickBot="1">
      <c r="A19" s="140"/>
      <c r="B19" s="201"/>
      <c r="C19" s="151"/>
      <c r="D19" s="187"/>
      <c r="E19" s="151"/>
      <c r="F19" s="191"/>
      <c r="G19" s="151"/>
    </row>
    <row r="20" spans="1:8" ht="48" customHeight="1" thickBot="1">
      <c r="B20" s="196" t="s">
        <v>166</v>
      </c>
      <c r="C20" s="159"/>
      <c r="D20" s="183" t="s">
        <v>158</v>
      </c>
      <c r="E20" s="148"/>
      <c r="F20" s="183" t="s">
        <v>162</v>
      </c>
      <c r="G20" s="153"/>
      <c r="H20" s="140"/>
    </row>
    <row r="21" spans="1:8" ht="48" customHeight="1" thickBot="1">
      <c r="B21" s="197" t="s">
        <v>133</v>
      </c>
      <c r="C21" s="157"/>
      <c r="D21" s="188" t="s">
        <v>126</v>
      </c>
      <c r="E21" s="145"/>
      <c r="F21" s="188" t="s">
        <v>128</v>
      </c>
      <c r="G21" s="154"/>
      <c r="H21" s="140"/>
    </row>
    <row r="22" spans="1:8" ht="48" customHeight="1" thickBot="1">
      <c r="B22" s="202"/>
      <c r="C22" s="160"/>
      <c r="D22" s="215" t="s">
        <v>175</v>
      </c>
      <c r="E22" s="147"/>
      <c r="F22" s="216" t="s">
        <v>174</v>
      </c>
      <c r="G22" s="155"/>
      <c r="H22" s="140"/>
    </row>
    <row r="23" spans="1:8" ht="12.75" customHeight="1">
      <c r="A23" s="140"/>
      <c r="B23" s="199" t="s">
        <v>140</v>
      </c>
      <c r="C23" s="243">
        <v>-100000</v>
      </c>
      <c r="D23" s="185" t="s">
        <v>2</v>
      </c>
      <c r="E23" s="150">
        <f>C25*E8/1000</f>
        <v>500</v>
      </c>
      <c r="F23" s="185" t="s">
        <v>2</v>
      </c>
      <c r="G23" s="150">
        <f>C25*E7/1000</f>
        <v>750</v>
      </c>
    </row>
    <row r="24" spans="1:8" ht="12.75" customHeight="1" thickBot="1">
      <c r="A24" s="140"/>
      <c r="B24" s="200" t="s">
        <v>141</v>
      </c>
      <c r="C24" s="244">
        <v>-125000</v>
      </c>
      <c r="D24" s="186" t="s">
        <v>137</v>
      </c>
      <c r="E24" s="149">
        <f>E6+C23</f>
        <v>900000</v>
      </c>
      <c r="F24" s="186" t="s">
        <v>137</v>
      </c>
      <c r="G24" s="149">
        <f>E6+C23</f>
        <v>900000</v>
      </c>
    </row>
    <row r="25" spans="1:8" ht="12.75" customHeight="1" thickBot="1">
      <c r="A25" s="140"/>
      <c r="B25" s="201" t="s">
        <v>0</v>
      </c>
      <c r="C25" s="162">
        <f>C23-C24</f>
        <v>25000</v>
      </c>
      <c r="D25" s="187"/>
      <c r="E25" s="151"/>
      <c r="F25" s="191"/>
      <c r="G25" s="151"/>
    </row>
    <row r="26" spans="1:8" ht="12.75" customHeight="1" thickBot="1">
      <c r="A26" s="140"/>
      <c r="B26" s="201"/>
      <c r="C26" s="151"/>
      <c r="D26" s="187"/>
      <c r="E26" s="151"/>
      <c r="F26" s="191"/>
      <c r="G26" s="151"/>
    </row>
    <row r="27" spans="1:8" ht="48" customHeight="1" thickBot="1">
      <c r="B27" s="196" t="s">
        <v>167</v>
      </c>
      <c r="C27" s="159"/>
      <c r="D27" s="183" t="s">
        <v>159</v>
      </c>
      <c r="E27" s="148"/>
      <c r="F27" s="183" t="s">
        <v>163</v>
      </c>
      <c r="G27" s="153"/>
      <c r="H27" s="140"/>
    </row>
    <row r="28" spans="1:8" ht="48" customHeight="1" thickBot="1">
      <c r="B28" s="197" t="s">
        <v>134</v>
      </c>
      <c r="C28" s="157"/>
      <c r="D28" s="190" t="s">
        <v>129</v>
      </c>
      <c r="E28" s="146"/>
      <c r="F28" s="189" t="s">
        <v>131</v>
      </c>
      <c r="G28" s="156"/>
      <c r="H28" s="140"/>
    </row>
    <row r="29" spans="1:8" ht="48" customHeight="1" thickBot="1">
      <c r="B29" s="203"/>
      <c r="C29" s="158"/>
      <c r="D29" s="216" t="s">
        <v>176</v>
      </c>
      <c r="E29" s="146"/>
      <c r="F29" s="215" t="s">
        <v>177</v>
      </c>
      <c r="G29" s="156"/>
      <c r="H29" s="140"/>
    </row>
    <row r="30" spans="1:8" ht="12.75" customHeight="1" thickBot="1">
      <c r="A30" s="140"/>
      <c r="B30" s="199" t="s">
        <v>140</v>
      </c>
      <c r="C30" s="243">
        <v>100000</v>
      </c>
      <c r="D30" s="185" t="s">
        <v>2</v>
      </c>
      <c r="E30" s="152">
        <f>C32*E8/1000</f>
        <v>300</v>
      </c>
      <c r="F30" s="185" t="s">
        <v>2</v>
      </c>
      <c r="G30" s="152">
        <f>C32*E7/1000</f>
        <v>450</v>
      </c>
    </row>
    <row r="31" spans="1:8" ht="12.75" customHeight="1" thickBot="1">
      <c r="A31" s="140"/>
      <c r="B31" s="200" t="s">
        <v>141</v>
      </c>
      <c r="C31" s="244">
        <v>85000</v>
      </c>
      <c r="D31" s="186" t="s">
        <v>137</v>
      </c>
      <c r="E31" s="149">
        <f>E6+C30</f>
        <v>1100000</v>
      </c>
      <c r="F31" s="186" t="s">
        <v>137</v>
      </c>
      <c r="G31" s="149">
        <f>E6+C30</f>
        <v>1100000</v>
      </c>
    </row>
    <row r="32" spans="1:8" ht="12.75" customHeight="1" thickBot="1">
      <c r="A32" s="140"/>
      <c r="B32" s="201" t="s">
        <v>0</v>
      </c>
      <c r="C32" s="162">
        <f>C30-C31</f>
        <v>15000</v>
      </c>
      <c r="D32" s="187"/>
      <c r="E32" s="151"/>
      <c r="F32" s="191"/>
      <c r="G32" s="151"/>
    </row>
    <row r="33" spans="1:8" ht="12.75" customHeight="1" thickBot="1">
      <c r="A33" s="140"/>
      <c r="B33" s="201"/>
      <c r="C33" s="151"/>
      <c r="D33" s="187"/>
      <c r="E33" s="151"/>
      <c r="F33" s="191"/>
      <c r="G33" s="151"/>
    </row>
    <row r="34" spans="1:8" ht="48" customHeight="1" thickBot="1">
      <c r="B34" s="196" t="s">
        <v>168</v>
      </c>
      <c r="C34" s="159"/>
      <c r="D34" s="183" t="s">
        <v>160</v>
      </c>
      <c r="E34" s="148"/>
      <c r="F34" s="183" t="s">
        <v>164</v>
      </c>
      <c r="G34" s="153"/>
      <c r="H34" s="140"/>
    </row>
    <row r="35" spans="1:8" ht="48" customHeight="1" thickBot="1">
      <c r="B35" s="197" t="s">
        <v>134</v>
      </c>
      <c r="C35" s="157"/>
      <c r="D35" s="190" t="s">
        <v>130</v>
      </c>
      <c r="E35" s="146"/>
      <c r="F35" s="189" t="s">
        <v>132</v>
      </c>
      <c r="G35" s="156"/>
      <c r="H35" s="140"/>
    </row>
    <row r="36" spans="1:8" ht="48" customHeight="1" thickBot="1">
      <c r="B36" s="204"/>
      <c r="C36" s="160"/>
      <c r="D36" s="216" t="s">
        <v>178</v>
      </c>
      <c r="E36" s="146"/>
      <c r="F36" s="215" t="s">
        <v>179</v>
      </c>
      <c r="G36" s="156"/>
      <c r="H36" s="140"/>
    </row>
    <row r="37" spans="1:8" ht="12.75" customHeight="1">
      <c r="A37" s="140"/>
      <c r="B37" s="199" t="s">
        <v>140</v>
      </c>
      <c r="C37" s="243">
        <v>100000</v>
      </c>
      <c r="D37" s="185" t="s">
        <v>1</v>
      </c>
      <c r="E37" s="150">
        <f>C39*E7/1000</f>
        <v>900</v>
      </c>
      <c r="F37" s="185" t="s">
        <v>1</v>
      </c>
      <c r="G37" s="150">
        <f>C39*E8/1000</f>
        <v>600</v>
      </c>
    </row>
    <row r="38" spans="1:8" ht="12.75" customHeight="1" thickBot="1">
      <c r="A38" s="140"/>
      <c r="B38" s="200" t="s">
        <v>141</v>
      </c>
      <c r="C38" s="244">
        <v>130000</v>
      </c>
      <c r="D38" s="186" t="s">
        <v>137</v>
      </c>
      <c r="E38" s="149">
        <f>E6+C37</f>
        <v>1100000</v>
      </c>
      <c r="F38" s="186" t="s">
        <v>137</v>
      </c>
      <c r="G38" s="149">
        <f>E6+C37</f>
        <v>1100000</v>
      </c>
    </row>
    <row r="39" spans="1:8" ht="12.75" customHeight="1" thickBot="1">
      <c r="A39" s="140"/>
      <c r="B39" s="201" t="s">
        <v>0</v>
      </c>
      <c r="C39" s="162">
        <f>C38-C37</f>
        <v>30000</v>
      </c>
      <c r="D39" s="191"/>
      <c r="E39" s="151"/>
      <c r="F39" s="193"/>
      <c r="G39" s="151"/>
    </row>
    <row r="40" spans="1:8" ht="48" customHeight="1">
      <c r="A40" s="140"/>
      <c r="B40" s="205"/>
      <c r="D40" s="138"/>
      <c r="E40" s="138"/>
      <c r="F40" s="138"/>
      <c r="G40" s="138"/>
    </row>
    <row r="41" spans="1:8" ht="48" customHeight="1">
      <c r="F41" s="138"/>
      <c r="G41" s="138"/>
    </row>
    <row r="42" spans="1:8" ht="48" customHeight="1">
      <c r="F42" s="138"/>
      <c r="G42" s="138"/>
    </row>
  </sheetData>
  <sheetProtection password="DBBB" sheet="1" objects="1" scenarios="1"/>
  <phoneticPr fontId="9" type="noConversion"/>
  <pageMargins left="0.38" right="0.3" top="0.54" bottom="0.33" header="0.5" footer="0.28000000000000003"/>
  <pageSetup paperSize="8"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E48"/>
  <sheetViews>
    <sheetView defaultGridColor="0" colorId="23" workbookViewId="0">
      <selection activeCell="I29" sqref="I29"/>
    </sheetView>
  </sheetViews>
  <sheetFormatPr defaultRowHeight="12.75" customHeight="1"/>
  <cols>
    <col min="1" max="1" width="9.140625" style="249"/>
    <col min="2" max="2" width="3.7109375" style="249" customWidth="1"/>
    <col min="3" max="3" width="53.28515625" style="249" customWidth="1"/>
    <col min="4" max="4" width="15.7109375" style="249" customWidth="1"/>
    <col min="5" max="5" width="130.7109375" style="249" bestFit="1" customWidth="1"/>
    <col min="6" max="16384" width="9.140625" style="249"/>
  </cols>
  <sheetData>
    <row r="2" spans="3:5" ht="12.75" customHeight="1">
      <c r="C2" s="272"/>
      <c r="D2" s="272"/>
      <c r="E2" s="272"/>
    </row>
    <row r="15" spans="3:5" ht="12.75" customHeight="1" thickBot="1"/>
    <row r="16" spans="3:5" ht="12.75" customHeight="1" thickBot="1">
      <c r="C16" s="251" t="s">
        <v>217</v>
      </c>
      <c r="D16" s="256"/>
      <c r="E16" s="252"/>
    </row>
    <row r="17" spans="3:5" ht="12.75" customHeight="1">
      <c r="C17" s="39" t="s">
        <v>237</v>
      </c>
      <c r="D17" s="259">
        <v>42247</v>
      </c>
      <c r="E17" s="34" t="s">
        <v>218</v>
      </c>
    </row>
    <row r="18" spans="3:5" ht="12.75" customHeight="1">
      <c r="C18" s="31"/>
      <c r="D18" s="32"/>
      <c r="E18" s="35"/>
    </row>
    <row r="19" spans="3:5" ht="12.75" customHeight="1">
      <c r="C19" s="31" t="s">
        <v>257</v>
      </c>
      <c r="D19" s="258">
        <v>7440</v>
      </c>
      <c r="E19" s="35" t="s">
        <v>219</v>
      </c>
    </row>
    <row r="20" spans="3:5" ht="12.75" customHeight="1">
      <c r="C20" s="31"/>
      <c r="D20" s="32"/>
      <c r="E20" s="35"/>
    </row>
    <row r="21" spans="3:5" ht="12.75" customHeight="1">
      <c r="C21" s="31" t="s">
        <v>239</v>
      </c>
      <c r="D21" s="257">
        <v>42370</v>
      </c>
      <c r="E21" s="35" t="s">
        <v>220</v>
      </c>
    </row>
    <row r="22" spans="3:5" ht="12.75" customHeight="1">
      <c r="C22" s="31" t="s">
        <v>238</v>
      </c>
      <c r="D22" s="257">
        <v>42401</v>
      </c>
      <c r="E22" s="35" t="s">
        <v>221</v>
      </c>
    </row>
    <row r="23" spans="3:5" ht="12.75" customHeight="1">
      <c r="C23" s="31"/>
      <c r="D23" s="32"/>
      <c r="E23" s="35"/>
    </row>
    <row r="24" spans="3:5" ht="12.75" customHeight="1">
      <c r="C24" s="31" t="s">
        <v>241</v>
      </c>
      <c r="D24" s="253">
        <f>D17+1</f>
        <v>42248</v>
      </c>
      <c r="E24" s="35" t="s">
        <v>222</v>
      </c>
    </row>
    <row r="25" spans="3:5" ht="12.75" customHeight="1">
      <c r="C25" s="31" t="s">
        <v>242</v>
      </c>
      <c r="D25" s="253">
        <f>D22</f>
        <v>42401</v>
      </c>
      <c r="E25" s="35" t="s">
        <v>223</v>
      </c>
    </row>
    <row r="26" spans="3:5" ht="12.75" customHeight="1">
      <c r="C26" s="31"/>
      <c r="D26" s="32"/>
      <c r="E26" s="35"/>
    </row>
    <row r="27" spans="3:5" ht="12.75" customHeight="1">
      <c r="C27" s="31" t="s">
        <v>240</v>
      </c>
      <c r="D27" s="254">
        <f>2*D19/((D22-D21)*24)</f>
        <v>20</v>
      </c>
      <c r="E27" s="35" t="s">
        <v>224</v>
      </c>
    </row>
    <row r="28" spans="3:5" ht="12.75" customHeight="1">
      <c r="C28" s="31"/>
      <c r="D28" s="32"/>
      <c r="E28" s="35"/>
    </row>
    <row r="29" spans="3:5" ht="12.75" customHeight="1" thickBot="1">
      <c r="C29" s="36" t="s">
        <v>225</v>
      </c>
      <c r="D29" s="260">
        <f>D21</f>
        <v>42370</v>
      </c>
      <c r="E29" s="38" t="s">
        <v>226</v>
      </c>
    </row>
    <row r="30" spans="3:5" ht="12.75" customHeight="1" thickBot="1"/>
    <row r="31" spans="3:5" ht="12.75" customHeight="1" thickBot="1">
      <c r="C31" s="251" t="s">
        <v>256</v>
      </c>
      <c r="D31" s="252"/>
      <c r="E31" s="264"/>
    </row>
    <row r="32" spans="3:5" ht="12.75" customHeight="1">
      <c r="C32" s="39" t="s">
        <v>243</v>
      </c>
      <c r="D32" s="265">
        <f>D19</f>
        <v>7440</v>
      </c>
      <c r="E32" s="34" t="s">
        <v>227</v>
      </c>
    </row>
    <row r="33" spans="3:5" ht="12.75" customHeight="1">
      <c r="C33" s="31" t="s">
        <v>244</v>
      </c>
      <c r="D33" s="263">
        <v>27.462</v>
      </c>
      <c r="E33" s="35" t="s">
        <v>228</v>
      </c>
    </row>
    <row r="34" spans="3:5" ht="12.75" customHeight="1">
      <c r="C34" s="31" t="s">
        <v>255</v>
      </c>
      <c r="D34" s="261">
        <f>D33*D32</f>
        <v>204317.28</v>
      </c>
      <c r="E34" s="35"/>
    </row>
    <row r="35" spans="3:5" ht="12.75" customHeight="1">
      <c r="C35" s="31" t="s">
        <v>245</v>
      </c>
      <c r="D35" s="263">
        <v>1.4999999999999999E-2</v>
      </c>
      <c r="E35" s="35" t="s">
        <v>229</v>
      </c>
    </row>
    <row r="36" spans="3:5" ht="12.75" customHeight="1">
      <c r="C36" s="31" t="s">
        <v>246</v>
      </c>
      <c r="D36" s="263">
        <v>0.2</v>
      </c>
      <c r="E36" s="35" t="s">
        <v>230</v>
      </c>
    </row>
    <row r="37" spans="3:5" ht="12.75" customHeight="1">
      <c r="C37" s="31" t="s">
        <v>247</v>
      </c>
      <c r="D37" s="258">
        <v>150</v>
      </c>
      <c r="E37" s="35" t="s">
        <v>231</v>
      </c>
    </row>
    <row r="38" spans="3:5" ht="12.75" customHeight="1">
      <c r="C38" s="31" t="s">
        <v>248</v>
      </c>
      <c r="D38" s="266">
        <v>100</v>
      </c>
      <c r="E38" s="35" t="s">
        <v>232</v>
      </c>
    </row>
    <row r="39" spans="3:5" ht="12.75" customHeight="1">
      <c r="C39" s="31" t="s">
        <v>249</v>
      </c>
      <c r="D39" s="262">
        <f>(((D48-D17)/365)*((D37+D38)/10000)*D33)</f>
        <v>0.22759602739726029</v>
      </c>
      <c r="E39" s="35" t="s">
        <v>233</v>
      </c>
    </row>
    <row r="40" spans="3:5" ht="12.75" customHeight="1">
      <c r="C40" s="31"/>
      <c r="D40" s="32"/>
      <c r="E40" s="35"/>
    </row>
    <row r="41" spans="3:5" ht="12.75" customHeight="1">
      <c r="C41" s="31" t="s">
        <v>250</v>
      </c>
      <c r="D41" s="261">
        <f>D34</f>
        <v>204317.28</v>
      </c>
      <c r="E41" s="35" t="str">
        <f>E33</f>
        <v>Taken from the Endex Market for the Withdrawal Period on the Date of the WGB Transfer, or as agreed between Bank and Customer</v>
      </c>
    </row>
    <row r="42" spans="3:5" ht="12.75" customHeight="1">
      <c r="C42" s="31" t="s">
        <v>251</v>
      </c>
      <c r="D42" s="267">
        <f>-D36*D32</f>
        <v>-1488</v>
      </c>
      <c r="E42" s="35"/>
    </row>
    <row r="43" spans="3:5" ht="12.75" customHeight="1">
      <c r="C43" s="31" t="s">
        <v>252</v>
      </c>
      <c r="D43" s="261">
        <f>-D35*D32</f>
        <v>-111.6</v>
      </c>
      <c r="E43" s="35"/>
    </row>
    <row r="44" spans="3:5" ht="12.75" customHeight="1">
      <c r="C44" s="31" t="s">
        <v>253</v>
      </c>
      <c r="D44" s="261">
        <f>-D39*D32</f>
        <v>-1693.3144438356164</v>
      </c>
      <c r="E44" s="35"/>
    </row>
    <row r="45" spans="3:5" ht="12.75" customHeight="1" thickBot="1">
      <c r="C45" s="271" t="s">
        <v>254</v>
      </c>
      <c r="D45" s="268">
        <f>SUM(D41:D44)</f>
        <v>201024.36555616438</v>
      </c>
      <c r="E45" s="38"/>
    </row>
    <row r="46" spans="3:5" ht="12.75" customHeight="1" thickBot="1"/>
    <row r="47" spans="3:5" ht="12.75" customHeight="1" thickBot="1">
      <c r="C47" s="250" t="s">
        <v>234</v>
      </c>
      <c r="D47" s="255"/>
      <c r="E47" s="269"/>
    </row>
    <row r="48" spans="3:5" ht="12.75" customHeight="1" thickBot="1">
      <c r="C48" s="36" t="s">
        <v>235</v>
      </c>
      <c r="D48" s="270">
        <f>D21-2</f>
        <v>42368</v>
      </c>
      <c r="E48" s="38" t="s">
        <v>236</v>
      </c>
    </row>
  </sheetData>
  <sheetProtection password="DBBB" sheet="1" objects="1" scenarios="1"/>
  <mergeCells count="1">
    <mergeCell ref="C2:E2"/>
  </mergeCells>
  <conditionalFormatting sqref="D24">
    <cfRule type="cellIs" dxfId="7" priority="12" stopIfTrue="1" operator="lessThan">
      <formula>0</formula>
    </cfRule>
  </conditionalFormatting>
  <conditionalFormatting sqref="D25">
    <cfRule type="cellIs" dxfId="6" priority="11" stopIfTrue="1" operator="lessThan">
      <formula>0</formula>
    </cfRule>
  </conditionalFormatting>
  <conditionalFormatting sqref="D27">
    <cfRule type="cellIs" dxfId="5" priority="10" stopIfTrue="1" operator="lessThan">
      <formula>0</formula>
    </cfRule>
  </conditionalFormatting>
  <conditionalFormatting sqref="D32">
    <cfRule type="cellIs" dxfId="4" priority="9" stopIfTrue="1" operator="lessThan">
      <formula>0</formula>
    </cfRule>
  </conditionalFormatting>
  <conditionalFormatting sqref="D34">
    <cfRule type="cellIs" dxfId="3" priority="8" stopIfTrue="1" operator="lessThan">
      <formula>0</formula>
    </cfRule>
  </conditionalFormatting>
  <conditionalFormatting sqref="D39">
    <cfRule type="cellIs" dxfId="2" priority="7" stopIfTrue="1" operator="lessThan">
      <formula>0</formula>
    </cfRule>
  </conditionalFormatting>
  <conditionalFormatting sqref="D41">
    <cfRule type="cellIs" dxfId="1" priority="6" stopIfTrue="1" operator="lessThan">
      <formula>0</formula>
    </cfRule>
  </conditionalFormatting>
  <conditionalFormatting sqref="D48">
    <cfRule type="cellIs" dxfId="0" priority="2" stopIfTrue="1" operator="lessThan">
      <formula>0</formula>
    </cfRule>
  </conditionalFormatting>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R52"/>
  <sheetViews>
    <sheetView defaultGridColor="0" colorId="55" workbookViewId="0">
      <selection activeCell="D39" sqref="D39"/>
    </sheetView>
  </sheetViews>
  <sheetFormatPr defaultColWidth="17.7109375" defaultRowHeight="11.25"/>
  <cols>
    <col min="1" max="1" width="2.28515625" style="130" customWidth="1"/>
    <col min="2" max="2" width="26.85546875" style="130" customWidth="1"/>
    <col min="3" max="5" width="12.140625" style="130" customWidth="1"/>
    <col min="6" max="6" width="2.5703125" style="208" customWidth="1"/>
    <col min="7" max="9" width="12.140625" style="130" customWidth="1"/>
    <col min="10" max="10" width="2.5703125" style="208" customWidth="1"/>
    <col min="11" max="13" width="12.140625" style="130" customWidth="1"/>
    <col min="14" max="14" width="2.5703125" style="208" customWidth="1"/>
    <col min="15" max="15" width="26.85546875" style="130" customWidth="1"/>
    <col min="16" max="18" width="12.140625" style="130" customWidth="1"/>
    <col min="19" max="16384" width="17.7109375" style="130"/>
  </cols>
  <sheetData>
    <row r="1" spans="2:18">
      <c r="B1" s="130">
        <f>IF('Normal Storage Day'!G24="Zero Flow",1,0)</f>
        <v>0</v>
      </c>
    </row>
    <row r="2" spans="2:18" s="209" customFormat="1">
      <c r="B2" s="210" t="s">
        <v>36</v>
      </c>
      <c r="D2" s="217"/>
      <c r="G2" s="209" t="s">
        <v>121</v>
      </c>
      <c r="K2" s="209" t="s">
        <v>122</v>
      </c>
      <c r="P2" s="209" t="s">
        <v>42</v>
      </c>
    </row>
    <row r="3" spans="2:18">
      <c r="B3" s="134" t="s">
        <v>41</v>
      </c>
      <c r="C3" s="131">
        <f>'Normal Storage Day'!H22</f>
        <v>-500000</v>
      </c>
      <c r="D3" s="211"/>
      <c r="E3" s="211"/>
      <c r="G3" s="131">
        <f>'Normal Storage Day'!I22</f>
        <v>1000000</v>
      </c>
      <c r="H3" s="211"/>
      <c r="I3" s="211"/>
      <c r="K3" s="131">
        <f>'Normal Storage Day'!J22</f>
        <v>1000000</v>
      </c>
      <c r="L3" s="211"/>
      <c r="M3" s="211"/>
      <c r="O3" s="134" t="s">
        <v>41</v>
      </c>
      <c r="P3" s="131">
        <f>'Normal Storage Day'!G22</f>
        <v>1500000</v>
      </c>
      <c r="Q3" s="211"/>
      <c r="R3" s="211"/>
    </row>
    <row r="4" spans="2:18">
      <c r="B4" s="134" t="s">
        <v>118</v>
      </c>
      <c r="C4" s="131">
        <f>-'Normal Storage Day'!H22+'Normal Storage Day'!H21</f>
        <v>0</v>
      </c>
      <c r="D4" s="211"/>
      <c r="E4" s="211"/>
      <c r="G4" s="131">
        <f>-'Normal Storage Day'!I22+'Normal Storage Day'!I21</f>
        <v>0</v>
      </c>
      <c r="H4" s="211"/>
      <c r="I4" s="211"/>
      <c r="K4" s="131">
        <f>-'Normal Storage Day'!J22+'Normal Storage Day'!J21</f>
        <v>0</v>
      </c>
      <c r="L4" s="211"/>
      <c r="M4" s="211"/>
      <c r="O4" s="134" t="s">
        <v>118</v>
      </c>
      <c r="P4" s="131">
        <f>-'Normal Storage Day'!G22+'Normal Storage Day'!G21</f>
        <v>0</v>
      </c>
      <c r="Q4" s="211"/>
      <c r="R4" s="211"/>
    </row>
    <row r="5" spans="2:18">
      <c r="B5" s="135" t="s">
        <v>116</v>
      </c>
      <c r="C5" s="212"/>
      <c r="D5" s="132">
        <f>IF(B$1=0,'Normal Storage Day'!H$42,IF('Normal Storage Day'!H$22&gt;0,MIN('Normal Storage Day'!H$22,'Normal Storage Day'!H$17),MAX('Normal Storage Day'!H$22,'Normal Storage Day'!H$18)))</f>
        <v>-358054</v>
      </c>
      <c r="E5" s="211"/>
      <c r="G5" s="132"/>
      <c r="H5" s="132">
        <f>IF(B$1=0,'Normal Storage Day'!I$42,IF('Normal Storage Day'!I$22&gt;0,MIN('Normal Storage Day'!I$22,'Normal Storage Day'!I$17),MAX('Normal Storage Day'!I$22,'Normal Storage Day'!I$18)))</f>
        <v>1000000</v>
      </c>
      <c r="I5" s="211"/>
      <c r="K5" s="212"/>
      <c r="L5" s="132">
        <f>IF(B$1=0,'Normal Storage Day'!J$42,IF('Normal Storage Day'!J$22&gt;0,MIN('Normal Storage Day'!J$22,'Normal Storage Day'!J$17),MAX('Normal Storage Day'!J$22,'Normal Storage Day'!J$18)))</f>
        <v>676155</v>
      </c>
      <c r="M5" s="211"/>
      <c r="O5" s="135" t="s">
        <v>182</v>
      </c>
      <c r="P5" s="212"/>
      <c r="Q5" s="132">
        <f>SUM(D5:D6,H5:H6,L5:L6)</f>
        <v>1500000</v>
      </c>
      <c r="R5" s="211"/>
    </row>
    <row r="6" spans="2:18">
      <c r="B6" s="135" t="s">
        <v>119</v>
      </c>
      <c r="C6" s="212"/>
      <c r="D6" s="132">
        <f>IF(B$1=0,SUM('Normal Storage Day'!H$43:H$46),'Normal Storage Day'!H$22-'data for graph'!D$5)</f>
        <v>-141946</v>
      </c>
      <c r="E6" s="211"/>
      <c r="G6" s="212"/>
      <c r="H6" s="132">
        <f>IF(B$1=0,SUM('Normal Storage Day'!I$43:I$46),'Normal Storage Day'!I$22-'data for graph'!H$5)</f>
        <v>0</v>
      </c>
      <c r="I6" s="211"/>
      <c r="K6" s="212"/>
      <c r="L6" s="132">
        <f>IF(B$1=0,SUM('Normal Storage Day'!J$43:J$46),'Normal Storage Day'!J$22-'data for graph'!L$5)</f>
        <v>323845</v>
      </c>
      <c r="M6" s="211"/>
      <c r="O6" s="136" t="s">
        <v>13</v>
      </c>
      <c r="P6" s="211"/>
      <c r="Q6" s="212"/>
      <c r="R6" s="133">
        <f>'Normal Storage Day'!G17</f>
        <v>2206310</v>
      </c>
    </row>
    <row r="7" spans="2:18">
      <c r="B7" s="136" t="s">
        <v>13</v>
      </c>
      <c r="C7" s="211"/>
      <c r="D7" s="212"/>
      <c r="E7" s="133">
        <f>'Normal Storage Day'!H17</f>
        <v>406077</v>
      </c>
      <c r="G7" s="211"/>
      <c r="H7" s="212"/>
      <c r="I7" s="133">
        <f>'Normal Storage Day'!I17</f>
        <v>1124078</v>
      </c>
      <c r="K7" s="211"/>
      <c r="L7" s="212"/>
      <c r="M7" s="133">
        <f>'Normal Storage Day'!J17</f>
        <v>676155</v>
      </c>
      <c r="O7" s="136" t="s">
        <v>101</v>
      </c>
      <c r="P7" s="211"/>
      <c r="Q7" s="212"/>
      <c r="R7" s="133">
        <f>'Normal Storage Day'!$G$7-'Normal Storage Day'!$G$17</f>
        <v>355690</v>
      </c>
    </row>
    <row r="8" spans="2:18">
      <c r="B8" s="136" t="s">
        <v>101</v>
      </c>
      <c r="C8" s="211"/>
      <c r="D8" s="212"/>
      <c r="E8" s="133">
        <f>'Normal Storage Day'!$H$7-'Normal Storage Day'!$H$17</f>
        <v>20923</v>
      </c>
      <c r="G8" s="211"/>
      <c r="H8" s="212"/>
      <c r="I8" s="133">
        <f>'Normal Storage Day'!$I$7-'Normal Storage Day'!$I$17</f>
        <v>156922</v>
      </c>
      <c r="K8" s="211"/>
      <c r="L8" s="212"/>
      <c r="M8" s="133">
        <f>'Normal Storage Day'!$J$7-'Normal Storage Day'!$J$17</f>
        <v>177845</v>
      </c>
      <c r="O8" s="136" t="s">
        <v>117</v>
      </c>
      <c r="P8" s="211"/>
      <c r="Q8" s="212"/>
      <c r="R8" s="133">
        <f>'Normal Storage Day'!$G$18</f>
        <v>-2755926</v>
      </c>
    </row>
    <row r="9" spans="2:18">
      <c r="B9" s="136" t="s">
        <v>117</v>
      </c>
      <c r="C9" s="211"/>
      <c r="D9" s="212"/>
      <c r="E9" s="133">
        <f>'Normal Storage Day'!$H$18</f>
        <v>-358054</v>
      </c>
      <c r="G9" s="211"/>
      <c r="H9" s="212"/>
      <c r="I9" s="133">
        <f>'Normal Storage Day'!$I$18</f>
        <v>-1322726</v>
      </c>
      <c r="K9" s="211"/>
      <c r="L9" s="212"/>
      <c r="M9" s="133">
        <f>'Normal Storage Day'!$J$18</f>
        <v>-1075146</v>
      </c>
      <c r="O9" s="136" t="s">
        <v>102</v>
      </c>
      <c r="P9" s="211"/>
      <c r="Q9" s="212"/>
      <c r="R9" s="133">
        <f>'Normal Storage Day'!$G$8-'Normal Storage Day'!$G$18</f>
        <v>-718074</v>
      </c>
    </row>
    <row r="10" spans="2:18">
      <c r="B10" s="136" t="s">
        <v>102</v>
      </c>
      <c r="C10" s="211"/>
      <c r="D10" s="212"/>
      <c r="E10" s="133">
        <f>'Normal Storage Day'!$H$8-'Normal Storage Day'!$H$18</f>
        <v>-220946</v>
      </c>
      <c r="G10" s="211"/>
      <c r="H10" s="212"/>
      <c r="I10" s="133">
        <f>'Normal Storage Day'!$I$8-'Normal Storage Day'!$I$18</f>
        <v>-414274</v>
      </c>
      <c r="K10" s="211"/>
      <c r="L10" s="212"/>
      <c r="M10" s="133">
        <f>'Normal Storage Day'!$J$8-'Normal Storage Day'!$J$18</f>
        <v>-82854</v>
      </c>
    </row>
    <row r="11" spans="2:18">
      <c r="B11" s="130">
        <f>IF('FSD Withdrawal'!G30="Zero Flow",1,0)</f>
        <v>0</v>
      </c>
      <c r="C11" s="130" t="s">
        <v>180</v>
      </c>
    </row>
    <row r="12" spans="2:18">
      <c r="B12" s="130">
        <f>IF('FSD Withdrawal'!G29="Withdrawal",IF('FSD Withdrawal'!G30="Withdrawal",1,0),0)</f>
        <v>1</v>
      </c>
      <c r="C12" s="130" t="s">
        <v>181</v>
      </c>
    </row>
    <row r="13" spans="2:18" s="208" customFormat="1">
      <c r="B13" s="210" t="s">
        <v>169</v>
      </c>
      <c r="C13" s="209" t="s">
        <v>120</v>
      </c>
      <c r="D13" s="209"/>
      <c r="E13" s="209"/>
      <c r="F13" s="209"/>
      <c r="G13" s="209" t="s">
        <v>121</v>
      </c>
      <c r="H13" s="209"/>
      <c r="I13" s="209"/>
      <c r="J13" s="209"/>
      <c r="K13" s="209" t="s">
        <v>122</v>
      </c>
      <c r="L13" s="209"/>
      <c r="M13" s="209"/>
      <c r="N13" s="209"/>
      <c r="O13" s="209"/>
      <c r="P13" s="209" t="s">
        <v>42</v>
      </c>
      <c r="Q13" s="209"/>
      <c r="R13" s="209"/>
    </row>
    <row r="14" spans="2:18">
      <c r="B14" s="209" t="s">
        <v>41</v>
      </c>
      <c r="C14" s="212">
        <f>'FSD Withdrawal'!$H$23</f>
        <v>-800000</v>
      </c>
      <c r="D14" s="211"/>
      <c r="E14" s="211"/>
      <c r="G14" s="212">
        <f>'FSD Withdrawal'!$I$23</f>
        <v>400000</v>
      </c>
      <c r="H14" s="211"/>
      <c r="I14" s="211"/>
      <c r="K14" s="212">
        <f>'FSD Withdrawal'!$J$23</f>
        <v>-1000000</v>
      </c>
      <c r="L14" s="211"/>
      <c r="M14" s="211"/>
      <c r="O14" s="209" t="s">
        <v>41</v>
      </c>
      <c r="P14" s="131">
        <f>SUM(C14,G14,K14)</f>
        <v>-1400000</v>
      </c>
      <c r="Q14" s="211"/>
      <c r="R14" s="211"/>
    </row>
    <row r="15" spans="2:18">
      <c r="B15" s="209" t="s">
        <v>118</v>
      </c>
      <c r="C15" s="212">
        <f>-'FSD Withdrawal'!$H$23+'FSD Withdrawal'!$H$21</f>
        <v>0</v>
      </c>
      <c r="D15" s="211"/>
      <c r="E15" s="211"/>
      <c r="G15" s="212">
        <f>-'FSD Withdrawal'!$I$23+'FSD Withdrawal'!$I$21</f>
        <v>0</v>
      </c>
      <c r="H15" s="211"/>
      <c r="I15" s="211"/>
      <c r="K15" s="212">
        <f>-'FSD Withdrawal'!$J$23+'FSD Withdrawal'!$J$21</f>
        <v>0</v>
      </c>
      <c r="L15" s="211"/>
      <c r="M15" s="211"/>
      <c r="O15" s="209" t="s">
        <v>118</v>
      </c>
      <c r="P15" s="131">
        <f>SUM(C15,G15,K15)</f>
        <v>0</v>
      </c>
      <c r="Q15" s="211"/>
      <c r="R15" s="211"/>
    </row>
    <row r="16" spans="2:18">
      <c r="B16" s="209" t="s">
        <v>116</v>
      </c>
      <c r="C16" s="212"/>
      <c r="D16" s="212">
        <f>IF('data for graph'!$B$11=1,'FSD Withdrawal'!$H$25,IF($B$12=1,'FSD Withdrawal'!$H$43,0))</f>
        <v>-579000</v>
      </c>
      <c r="E16" s="211"/>
      <c r="G16" s="212"/>
      <c r="H16" s="212">
        <f>IF('data for graph'!$B$11=1,'FSD Withdrawal'!$I$25,IF($B$12=1,'FSD Withdrawal'!$I$43,0))</f>
        <v>400000</v>
      </c>
      <c r="I16" s="211"/>
      <c r="K16" s="212"/>
      <c r="L16" s="212">
        <f>IF('data for graph'!$B$11=1,'FSD Withdrawal'!$J$25,IF($B$12=1,'FSD Withdrawal'!$J$43,0))</f>
        <v>-1000000</v>
      </c>
      <c r="M16" s="211"/>
      <c r="O16" s="135" t="s">
        <v>182</v>
      </c>
      <c r="P16" s="212"/>
      <c r="Q16" s="212">
        <f>SUM(D16:D17,H16:H17,L16:L17)</f>
        <v>-1400000</v>
      </c>
      <c r="R16" s="211"/>
    </row>
    <row r="17" spans="2:18">
      <c r="B17" s="209" t="s">
        <v>119</v>
      </c>
      <c r="C17" s="212"/>
      <c r="D17" s="212">
        <f>IF($B$11=1,'FSD Withdrawal'!$H$26+'FSD Withdrawal'!$H$27,IF($B$12=1,SUM('FSD Withdrawal'!$H$44:$H$47),0))</f>
        <v>-221000</v>
      </c>
      <c r="E17" s="211"/>
      <c r="G17" s="212"/>
      <c r="H17" s="212">
        <f>IF($B$11=1,'FSD Withdrawal'!$I$26+'FSD Withdrawal'!$I$27,IF($B$12=1,SUM('FSD Withdrawal'!$I$44:$I$47),0))</f>
        <v>0</v>
      </c>
      <c r="I17" s="211"/>
      <c r="K17" s="212"/>
      <c r="L17" s="212">
        <f>IF($B$11=1,'FSD Withdrawal'!$J$26+'FSD Withdrawal'!$J$27,IF($B$12=1,SUM('FSD Withdrawal'!$J$44:$J$47),0))</f>
        <v>0</v>
      </c>
      <c r="M17" s="211"/>
      <c r="O17" s="209" t="s">
        <v>13</v>
      </c>
      <c r="P17" s="211"/>
      <c r="Q17" s="212"/>
      <c r="R17" s="212">
        <f>'FSD Withdrawal'!$G$17</f>
        <v>1934188</v>
      </c>
    </row>
    <row r="18" spans="2:18">
      <c r="B18" s="209" t="s">
        <v>13</v>
      </c>
      <c r="C18" s="211"/>
      <c r="D18" s="212"/>
      <c r="E18" s="212">
        <f>'FSD Withdrawal'!$H$17</f>
        <v>322341</v>
      </c>
      <c r="G18" s="211"/>
      <c r="H18" s="212"/>
      <c r="I18" s="212">
        <f>'FSD Withdrawal'!$I$17</f>
        <v>967166</v>
      </c>
      <c r="K18" s="211"/>
      <c r="L18" s="212"/>
      <c r="M18" s="212">
        <f>'FSD Withdrawal'!$J$17</f>
        <v>644681</v>
      </c>
      <c r="O18" s="209" t="s">
        <v>101</v>
      </c>
      <c r="P18" s="211"/>
      <c r="Q18" s="212"/>
      <c r="R18" s="212">
        <f>'FSD Withdrawal'!$G$7-'FSD Withdrawal'!$G$17</f>
        <v>627812</v>
      </c>
    </row>
    <row r="19" spans="2:18">
      <c r="B19" s="209" t="s">
        <v>101</v>
      </c>
      <c r="C19" s="211"/>
      <c r="D19" s="212"/>
      <c r="E19" s="212">
        <f>'FSD Withdrawal'!$H$7-'FSD Withdrawal'!$H$17</f>
        <v>104659</v>
      </c>
      <c r="G19" s="211"/>
      <c r="H19" s="212"/>
      <c r="I19" s="212">
        <f>'FSD Withdrawal'!$I$7-'FSD Withdrawal'!$I$17</f>
        <v>313834</v>
      </c>
      <c r="K19" s="211"/>
      <c r="L19" s="212"/>
      <c r="M19" s="212">
        <f>'FSD Withdrawal'!$J$7-'FSD Withdrawal'!$J$17</f>
        <v>209319</v>
      </c>
      <c r="O19" s="209" t="s">
        <v>117</v>
      </c>
      <c r="P19" s="211"/>
      <c r="Q19" s="212"/>
      <c r="R19" s="212">
        <f>'FSD Withdrawal'!$G$18</f>
        <v>-3473973</v>
      </c>
    </row>
    <row r="20" spans="2:18">
      <c r="B20" s="209" t="s">
        <v>117</v>
      </c>
      <c r="C20" s="211"/>
      <c r="D20" s="212"/>
      <c r="E20" s="212">
        <f>'FSD Withdrawal'!$H$18</f>
        <v>-579000</v>
      </c>
      <c r="G20" s="211"/>
      <c r="H20" s="212"/>
      <c r="I20" s="212">
        <f>'FSD Withdrawal'!$I$18</f>
        <v>-1736973</v>
      </c>
      <c r="K20" s="211"/>
      <c r="L20" s="212"/>
      <c r="M20" s="212">
        <f>'FSD Withdrawal'!$J$18</f>
        <v>-1158000</v>
      </c>
      <c r="O20" s="209" t="s">
        <v>102</v>
      </c>
      <c r="P20" s="211"/>
      <c r="Q20" s="212"/>
      <c r="R20" s="212">
        <f>'FSD Withdrawal'!$G$8-'FSD Withdrawal'!$G$18</f>
        <v>-27</v>
      </c>
    </row>
    <row r="21" spans="2:18">
      <c r="B21" s="209" t="s">
        <v>102</v>
      </c>
      <c r="C21" s="211"/>
      <c r="D21" s="212"/>
      <c r="E21" s="212">
        <f>'FSD Withdrawal'!$H$8-'FSD Withdrawal'!$H$18</f>
        <v>0</v>
      </c>
      <c r="G21" s="211"/>
      <c r="H21" s="212"/>
      <c r="I21" s="212">
        <f>'FSD Withdrawal'!$I$8-'FSD Withdrawal'!$I$18</f>
        <v>-27</v>
      </c>
      <c r="K21" s="211"/>
      <c r="L21" s="212"/>
      <c r="M21" s="212">
        <f>'FSD Withdrawal'!$J$8-'FSD Withdrawal'!$J$18</f>
        <v>0</v>
      </c>
    </row>
    <row r="22" spans="2:18">
      <c r="B22" s="130">
        <f>IF('FSD Injection'!G30="Zero Flow",1,0)</f>
        <v>0</v>
      </c>
      <c r="C22" s="130" t="s">
        <v>180</v>
      </c>
    </row>
    <row r="23" spans="2:18">
      <c r="B23" s="130">
        <f>IF('FSD Injection'!G29="Withdrawal",IF('FSD Injection'!G30="Injection",1,0),0)</f>
        <v>1</v>
      </c>
      <c r="C23" s="130" t="s">
        <v>181</v>
      </c>
    </row>
    <row r="24" spans="2:18" s="208" customFormat="1">
      <c r="B24" s="210" t="s">
        <v>170</v>
      </c>
      <c r="C24" s="209" t="s">
        <v>120</v>
      </c>
      <c r="D24" s="209"/>
      <c r="E24" s="209"/>
      <c r="F24" s="209"/>
      <c r="G24" s="209" t="s">
        <v>121</v>
      </c>
      <c r="H24" s="209"/>
      <c r="I24" s="209"/>
      <c r="J24" s="209"/>
      <c r="K24" s="209" t="s">
        <v>122</v>
      </c>
      <c r="L24" s="209"/>
      <c r="M24" s="209"/>
      <c r="N24" s="209"/>
      <c r="O24" s="209"/>
      <c r="P24" s="209" t="s">
        <v>42</v>
      </c>
      <c r="Q24" s="209"/>
      <c r="R24" s="209"/>
    </row>
    <row r="25" spans="2:18">
      <c r="B25" s="209" t="s">
        <v>41</v>
      </c>
      <c r="C25" s="212">
        <f>'FSD Injection'!$H$23</f>
        <v>-700000</v>
      </c>
      <c r="D25" s="211"/>
      <c r="E25" s="211"/>
      <c r="G25" s="212">
        <f>'FSD Injection'!$I$23</f>
        <v>1300000</v>
      </c>
      <c r="H25" s="211"/>
      <c r="I25" s="211"/>
      <c r="K25" s="212">
        <f>'FSD Injection'!$J$23</f>
        <v>-500000</v>
      </c>
      <c r="L25" s="211"/>
      <c r="M25" s="211"/>
      <c r="O25" s="209" t="s">
        <v>41</v>
      </c>
      <c r="P25" s="131">
        <f>SUM(C25,G25,K25)</f>
        <v>100000</v>
      </c>
      <c r="Q25" s="211"/>
      <c r="R25" s="211"/>
    </row>
    <row r="26" spans="2:18">
      <c r="B26" s="209" t="s">
        <v>118</v>
      </c>
      <c r="C26" s="212">
        <f>-'FSD Injection'!$H$23+'FSD Injection'!$H$21</f>
        <v>0</v>
      </c>
      <c r="D26" s="211"/>
      <c r="E26" s="211"/>
      <c r="G26" s="212">
        <f>-'FSD Injection'!$I$23+'FSD Injection'!$I$21</f>
        <v>0</v>
      </c>
      <c r="H26" s="211"/>
      <c r="I26" s="211"/>
      <c r="K26" s="212">
        <f>-'FSD Injection'!$J$23+'FSD Injection'!$J$21</f>
        <v>0</v>
      </c>
      <c r="L26" s="211"/>
      <c r="M26" s="211"/>
      <c r="O26" s="209" t="s">
        <v>118</v>
      </c>
      <c r="P26" s="131">
        <f>SUM(C26,G26,K26)</f>
        <v>0</v>
      </c>
      <c r="Q26" s="211"/>
      <c r="R26" s="211"/>
    </row>
    <row r="27" spans="2:18">
      <c r="B27" s="209" t="s">
        <v>116</v>
      </c>
      <c r="C27" s="212"/>
      <c r="D27" s="212">
        <f>IF($B$22=1,'FSD Injection'!$H$25,IF($B$23=1,'FSD Injection'!$H$43,0))</f>
        <v>-579000</v>
      </c>
      <c r="E27" s="211"/>
      <c r="G27" s="212"/>
      <c r="H27" s="212">
        <f>IF($B$22=1,'FSD Injection'!$I$25,IF($B$23=1,'FSD Injection'!$I$43,0))</f>
        <v>967166</v>
      </c>
      <c r="I27" s="211"/>
      <c r="K27" s="212"/>
      <c r="L27" s="212">
        <f>IF($B$22=1,'FSD Injection'!$J$25,IF($B$23=1,'FSD Injection'!$J$43,0))</f>
        <v>-500000</v>
      </c>
      <c r="M27" s="211"/>
      <c r="O27" s="135" t="s">
        <v>182</v>
      </c>
      <c r="P27" s="212"/>
      <c r="Q27" s="212">
        <f>SUM(D27:D28,H27:H28,L27:L28)</f>
        <v>0</v>
      </c>
      <c r="R27" s="211"/>
    </row>
    <row r="28" spans="2:18">
      <c r="B28" s="209" t="s">
        <v>119</v>
      </c>
      <c r="C28" s="212"/>
      <c r="D28" s="212">
        <f>IF('data for graph'!$B$22=1,'FSD Injection'!$H$27+'FSD Injection'!$H$26,IF($B$23=1,SUM('FSD Injection'!$H$44:$H$47),0))</f>
        <v>-121000</v>
      </c>
      <c r="E28" s="211"/>
      <c r="G28" s="212"/>
      <c r="H28" s="212">
        <f>IF('data for graph'!$B$22=1,'FSD Injection'!$I$27+'FSD Injection'!$I$26,IF($B$23=1,SUM('FSD Injection'!$I$44:$I$47),0))</f>
        <v>232834</v>
      </c>
      <c r="I28" s="211"/>
      <c r="K28" s="212"/>
      <c r="L28" s="212">
        <f>IF('data for graph'!$B$22=1,'FSD Injection'!$J$27+'FSD Injection'!$J$26,IF($B$23=1,SUM('FSD Injection'!$J$44:$J$47),0))</f>
        <v>0</v>
      </c>
      <c r="M28" s="211"/>
      <c r="O28" s="209" t="s">
        <v>13</v>
      </c>
      <c r="P28" s="211"/>
      <c r="Q28" s="212"/>
      <c r="R28" s="212">
        <f>'FSD Injection'!$G$17</f>
        <v>1934188</v>
      </c>
    </row>
    <row r="29" spans="2:18">
      <c r="B29" s="209" t="s">
        <v>13</v>
      </c>
      <c r="C29" s="211"/>
      <c r="D29" s="212"/>
      <c r="E29" s="212">
        <f>'FSD Injection'!$H$17</f>
        <v>322341</v>
      </c>
      <c r="G29" s="211"/>
      <c r="H29" s="212"/>
      <c r="I29" s="212">
        <f>'FSD Injection'!$I$17</f>
        <v>967166</v>
      </c>
      <c r="K29" s="211"/>
      <c r="L29" s="212"/>
      <c r="M29" s="212">
        <f>'FSD Injection'!$J$17</f>
        <v>644681</v>
      </c>
      <c r="O29" s="209" t="s">
        <v>101</v>
      </c>
      <c r="P29" s="211"/>
      <c r="Q29" s="212"/>
      <c r="R29" s="212">
        <f>'FSD Injection'!$G$7-'FSD Injection'!$G$17</f>
        <v>627812</v>
      </c>
    </row>
    <row r="30" spans="2:18">
      <c r="B30" s="209" t="s">
        <v>101</v>
      </c>
      <c r="C30" s="211"/>
      <c r="D30" s="212"/>
      <c r="E30" s="212">
        <f>'FSD Injection'!$H$7-'FSD Injection'!$H$17</f>
        <v>104659</v>
      </c>
      <c r="G30" s="211"/>
      <c r="H30" s="212"/>
      <c r="I30" s="212">
        <f>'FSD Injection'!$I$7-'FSD Injection'!$I$17</f>
        <v>313834</v>
      </c>
      <c r="K30" s="211"/>
      <c r="L30" s="212"/>
      <c r="M30" s="212">
        <f>'FSD Injection'!$J$7-'FSD Injection'!$J$17</f>
        <v>209319</v>
      </c>
      <c r="O30" s="209" t="s">
        <v>117</v>
      </c>
      <c r="P30" s="211"/>
      <c r="Q30" s="212"/>
      <c r="R30" s="212">
        <f>'FSD Injection'!$G$18</f>
        <v>-3473973</v>
      </c>
    </row>
    <row r="31" spans="2:18">
      <c r="B31" s="209" t="s">
        <v>117</v>
      </c>
      <c r="C31" s="211"/>
      <c r="D31" s="212"/>
      <c r="E31" s="212">
        <f>'FSD Injection'!$H$18</f>
        <v>-579000</v>
      </c>
      <c r="G31" s="211"/>
      <c r="H31" s="212"/>
      <c r="I31" s="212">
        <f>'FSD Injection'!$I$18</f>
        <v>-1736973</v>
      </c>
      <c r="K31" s="211"/>
      <c r="L31" s="212"/>
      <c r="M31" s="212">
        <f>'FSD Injection'!$J$18</f>
        <v>-1158000</v>
      </c>
      <c r="O31" s="209" t="s">
        <v>102</v>
      </c>
      <c r="P31" s="211"/>
      <c r="Q31" s="212"/>
      <c r="R31" s="212">
        <f>'FSD Injection'!$G$8-'FSD Injection'!$G$18</f>
        <v>-27</v>
      </c>
    </row>
    <row r="32" spans="2:18">
      <c r="B32" s="209" t="s">
        <v>102</v>
      </c>
      <c r="C32" s="211"/>
      <c r="D32" s="212"/>
      <c r="E32" s="212">
        <f>'FSD Injection'!$H$8-'FSD Injection'!$H$18</f>
        <v>0</v>
      </c>
      <c r="G32" s="211"/>
      <c r="H32" s="212"/>
      <c r="I32" s="212">
        <f>'FSD Injection'!$I$8-'FSD Injection'!$I$18</f>
        <v>-27</v>
      </c>
      <c r="K32" s="211"/>
      <c r="L32" s="212"/>
      <c r="M32" s="212">
        <f>'FSD Injection'!$J$8-'FSD Injection'!$J$18</f>
        <v>0</v>
      </c>
    </row>
    <row r="33" spans="2:18">
      <c r="B33" s="130">
        <f>IF('FSD Mandatory Withdrawal'!G30="Zero Flow",1,0)</f>
        <v>0</v>
      </c>
      <c r="C33" s="130" t="s">
        <v>180</v>
      </c>
    </row>
    <row r="34" spans="2:18">
      <c r="B34" s="130">
        <f>IF('FSD Mandatory Withdrawal'!G29&lt;&gt;"Injection",1,0)</f>
        <v>0</v>
      </c>
      <c r="C34" s="130" t="s">
        <v>181</v>
      </c>
    </row>
    <row r="35" spans="2:18" s="208" customFormat="1">
      <c r="B35" s="210" t="s">
        <v>171</v>
      </c>
      <c r="C35" s="209" t="s">
        <v>120</v>
      </c>
      <c r="D35" s="209"/>
      <c r="E35" s="209"/>
      <c r="F35" s="209"/>
      <c r="G35" s="209" t="s">
        <v>121</v>
      </c>
      <c r="H35" s="209"/>
      <c r="I35" s="209"/>
      <c r="J35" s="209"/>
      <c r="K35" s="209" t="s">
        <v>122</v>
      </c>
      <c r="L35" s="209"/>
      <c r="M35" s="209"/>
      <c r="N35" s="209"/>
      <c r="O35" s="209"/>
      <c r="P35" s="209" t="s">
        <v>42</v>
      </c>
      <c r="Q35" s="209"/>
      <c r="R35" s="209"/>
    </row>
    <row r="36" spans="2:18">
      <c r="B36" s="134" t="s">
        <v>41</v>
      </c>
      <c r="C36" s="131">
        <f>'FSD Mandatory Withdrawal'!$H$23</f>
        <v>0</v>
      </c>
      <c r="D36" s="211"/>
      <c r="E36" s="211"/>
      <c r="G36" s="131">
        <f>'FSD Mandatory Withdrawal'!$I$23</f>
        <v>1200000</v>
      </c>
      <c r="H36" s="211"/>
      <c r="I36" s="211"/>
      <c r="K36" s="131">
        <f>'FSD Mandatory Withdrawal'!$J$23</f>
        <v>-200000</v>
      </c>
      <c r="L36" s="211"/>
      <c r="M36" s="211"/>
      <c r="O36" s="134" t="s">
        <v>41</v>
      </c>
      <c r="P36" s="131">
        <f>SUM(C36,G36,K36)</f>
        <v>1000000</v>
      </c>
      <c r="Q36" s="211"/>
      <c r="R36" s="211"/>
    </row>
    <row r="37" spans="2:18">
      <c r="B37" s="134" t="s">
        <v>118</v>
      </c>
      <c r="C37" s="131">
        <f>-'FSD Mandatory Withdrawal'!$H$23+'FSD Mandatory Withdrawal'!$H$21</f>
        <v>200000</v>
      </c>
      <c r="D37" s="211"/>
      <c r="E37" s="211"/>
      <c r="G37" s="131">
        <f>-'FSD Mandatory Withdrawal'!$I$23+'FSD Mandatory Withdrawal'!$I$21</f>
        <v>0</v>
      </c>
      <c r="H37" s="211"/>
      <c r="I37" s="211"/>
      <c r="K37" s="131">
        <f>-'FSD Mandatory Withdrawal'!$J$23+'FSD Mandatory Withdrawal'!$J$21</f>
        <v>0</v>
      </c>
      <c r="L37" s="211"/>
      <c r="M37" s="211"/>
      <c r="O37" s="134" t="s">
        <v>118</v>
      </c>
      <c r="P37" s="131">
        <f>SUM(C37,G37,K37)</f>
        <v>200000</v>
      </c>
      <c r="Q37" s="211"/>
      <c r="R37" s="211"/>
    </row>
    <row r="38" spans="2:18">
      <c r="B38" s="135" t="s">
        <v>116</v>
      </c>
      <c r="C38" s="212"/>
      <c r="D38" s="132">
        <f>IF($B$33=1,'FSD Mandatory Withdrawal'!$H$25,IF('data for graph'!$B$34=0,'FSD Mandatory Withdrawal'!$H$43,0))</f>
        <v>0</v>
      </c>
      <c r="E38" s="211"/>
      <c r="G38" s="212"/>
      <c r="H38" s="132">
        <f>IF($B$33=1,'FSD Mandatory Withdrawal'!$I$25,IF('data for graph'!$B$34=0,'FSD Mandatory Withdrawal'!$I$43,0))</f>
        <v>967166</v>
      </c>
      <c r="I38" s="211"/>
      <c r="K38" s="212"/>
      <c r="L38" s="132">
        <f>IF($B$33=1,'FSD Mandatory Withdrawal'!$J$25,IF('data for graph'!$B$34=0,'FSD Mandatory Withdrawal'!$J$43,0))</f>
        <v>-200000</v>
      </c>
      <c r="M38" s="211"/>
      <c r="O38" s="135" t="s">
        <v>182</v>
      </c>
      <c r="P38" s="212"/>
      <c r="Q38" s="132">
        <f>SUM(L38:L40,H38:H40,D38:D40)</f>
        <v>0</v>
      </c>
      <c r="R38" s="211"/>
    </row>
    <row r="39" spans="2:18">
      <c r="B39" s="135" t="s">
        <v>119</v>
      </c>
      <c r="C39" s="212"/>
      <c r="D39" s="132">
        <f>IF('data for graph'!$B$33=1,'FSD Mandatory Withdrawal'!$H$26+'FSD Mandatory Withdrawal'!$H$27,IF('data for graph'!$B$34=0,SUM('FSD Mandatory Withdrawal'!$H$44:$H$44,0)))</f>
        <v>0</v>
      </c>
      <c r="E39" s="211"/>
      <c r="G39" s="212"/>
      <c r="H39" s="132">
        <f>IF('data for graph'!$B$33=1,'FSD Mandatory Withdrawal'!$I$26+'FSD Mandatory Withdrawal'!$I$27,IF('data for graph'!$B$34=0,SUM('FSD Mandatory Withdrawal'!$I$44:$I$44,0)))</f>
        <v>0</v>
      </c>
      <c r="I39" s="211"/>
      <c r="K39" s="212"/>
      <c r="L39" s="132">
        <f>IF('data for graph'!$B$33=1,'FSD Mandatory Withdrawal'!$J$26+'FSD Mandatory Withdrawal'!$J$27,IF('data for graph'!$B$34=0,SUM('FSD Mandatory Withdrawal'!$J$44:$J$44,0)))</f>
        <v>0</v>
      </c>
      <c r="M39" s="211"/>
      <c r="O39" s="136" t="s">
        <v>13</v>
      </c>
      <c r="P39" s="211"/>
      <c r="Q39" s="212"/>
      <c r="R39" s="133">
        <f>'FSD Mandatory Withdrawal'!$G$17</f>
        <v>1934188</v>
      </c>
    </row>
    <row r="40" spans="2:18">
      <c r="B40" s="135" t="s">
        <v>89</v>
      </c>
      <c r="C40" s="212"/>
      <c r="D40" s="132">
        <f>IF($B$33=1,0,IF($B$34=1,0,'FSD Mandatory Withdrawal'!$H$47))</f>
        <v>-298625.37428337429</v>
      </c>
      <c r="E40" s="211"/>
      <c r="G40" s="212"/>
      <c r="H40" s="132">
        <f>IF($B$33=1,0,IF($B$34=1,0,'FSD Mandatory Withdrawal'!$I$47))</f>
        <v>0</v>
      </c>
      <c r="I40" s="211"/>
      <c r="K40" s="212"/>
      <c r="L40" s="132">
        <f>IF($B$33=1,0,IF($B$34=1,0,'FSD Mandatory Withdrawal'!$J$47))</f>
        <v>-468540.62571662571</v>
      </c>
      <c r="M40" s="211"/>
      <c r="O40" s="136" t="s">
        <v>101</v>
      </c>
      <c r="P40" s="211"/>
      <c r="Q40" s="212"/>
      <c r="R40" s="133">
        <f>'FSD Mandatory Withdrawal'!$G$7-'FSD Mandatory Withdrawal'!$G$17</f>
        <v>627812</v>
      </c>
    </row>
    <row r="41" spans="2:18">
      <c r="B41" s="136" t="s">
        <v>13</v>
      </c>
      <c r="C41" s="211"/>
      <c r="D41" s="212"/>
      <c r="E41" s="133">
        <f>'FSD Mandatory Withdrawal'!$H$17</f>
        <v>322341</v>
      </c>
      <c r="G41" s="211"/>
      <c r="H41" s="212"/>
      <c r="I41" s="133">
        <f>'FSD Mandatory Withdrawal'!$I$17</f>
        <v>967166</v>
      </c>
      <c r="K41" s="211"/>
      <c r="L41" s="212"/>
      <c r="M41" s="133">
        <f>'FSD Mandatory Withdrawal'!$J$17</f>
        <v>644681</v>
      </c>
      <c r="O41" s="136" t="s">
        <v>117</v>
      </c>
      <c r="P41" s="211"/>
      <c r="Q41" s="212"/>
      <c r="R41" s="133">
        <f>'FSD Mandatory Withdrawal'!$G$18</f>
        <v>-3473973</v>
      </c>
    </row>
    <row r="42" spans="2:18">
      <c r="B42" s="136" t="s">
        <v>101</v>
      </c>
      <c r="C42" s="211"/>
      <c r="D42" s="212"/>
      <c r="E42" s="133">
        <f>'FSD Mandatory Withdrawal'!$H$7-'FSD Mandatory Withdrawal'!$H$17</f>
        <v>104659</v>
      </c>
      <c r="G42" s="211"/>
      <c r="H42" s="212"/>
      <c r="I42" s="133">
        <f>'FSD Mandatory Withdrawal'!$I$7-'FSD Mandatory Withdrawal'!$I$17</f>
        <v>313834</v>
      </c>
      <c r="K42" s="211"/>
      <c r="L42" s="212"/>
      <c r="M42" s="133">
        <f>'FSD Mandatory Withdrawal'!$J$7-'FSD Mandatory Withdrawal'!$J$17</f>
        <v>209319</v>
      </c>
      <c r="O42" s="136" t="s">
        <v>102</v>
      </c>
      <c r="P42" s="211"/>
      <c r="Q42" s="212"/>
      <c r="R42" s="133">
        <f>'FSD Mandatory Withdrawal'!$G$8-'FSD Mandatory Withdrawal'!$G$18</f>
        <v>-27</v>
      </c>
    </row>
    <row r="43" spans="2:18">
      <c r="B43" s="136" t="s">
        <v>117</v>
      </c>
      <c r="C43" s="211"/>
      <c r="D43" s="212"/>
      <c r="E43" s="133">
        <f>'FSD Mandatory Withdrawal'!$H$18</f>
        <v>-579000</v>
      </c>
      <c r="G43" s="211"/>
      <c r="H43" s="212"/>
      <c r="I43" s="133">
        <f>'FSD Mandatory Withdrawal'!$I$18</f>
        <v>-1736973</v>
      </c>
      <c r="K43" s="211"/>
      <c r="L43" s="212"/>
      <c r="M43" s="133">
        <f>'FSD Mandatory Withdrawal'!$J$18</f>
        <v>-1158000</v>
      </c>
    </row>
    <row r="44" spans="2:18">
      <c r="B44" s="136" t="s">
        <v>102</v>
      </c>
      <c r="C44" s="211"/>
      <c r="D44" s="212"/>
      <c r="E44" s="133">
        <f>'FSD Mandatory Withdrawal'!$H$8-'FSD Mandatory Withdrawal'!$H$18</f>
        <v>0</v>
      </c>
      <c r="G44" s="211"/>
      <c r="H44" s="212"/>
      <c r="I44" s="133">
        <f>'FSD Mandatory Withdrawal'!$I$8-'FSD Mandatory Withdrawal'!$I$18</f>
        <v>-27</v>
      </c>
      <c r="K44" s="211"/>
      <c r="L44" s="212"/>
      <c r="M44" s="133">
        <f>'FSD Mandatory Withdrawal'!$J$8-'FSD Mandatory Withdrawal'!$J$18</f>
        <v>0</v>
      </c>
    </row>
    <row r="52" spans="2:2" ht="27">
      <c r="B52" s="163" t="s">
        <v>3</v>
      </c>
    </row>
  </sheetData>
  <phoneticPr fontId="0" type="noConversion"/>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H2:H6"/>
  <sheetViews>
    <sheetView defaultGridColor="0" colorId="55" zoomScaleNormal="100" workbookViewId="0">
      <selection activeCell="M4" sqref="M4"/>
    </sheetView>
  </sheetViews>
  <sheetFormatPr defaultRowHeight="12.75"/>
  <cols>
    <col min="1" max="16384" width="9.140625" style="11"/>
  </cols>
  <sheetData>
    <row r="2" spans="8:8">
      <c r="H2" s="226"/>
    </row>
    <row r="3" spans="8:8">
      <c r="H3" s="227"/>
    </row>
    <row r="4" spans="8:8">
      <c r="H4" s="227"/>
    </row>
    <row r="5" spans="8:8">
      <c r="H5" s="227"/>
    </row>
    <row r="6" spans="8:8">
      <c r="H6" s="227"/>
    </row>
  </sheetData>
  <sheetProtection password="DBBB" sheet="1" objects="1" scenarios="1"/>
  <phoneticPr fontId="9" type="noConversion"/>
  <pageMargins left="0.33" right="0.25" top="0.48" bottom="0.35" header="0.5" footer="0.17"/>
  <pageSetup paperSize="9" scale="5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7"/>
    <pageSetUpPr fitToPage="1"/>
  </sheetPr>
  <dimension ref="B6:R39"/>
  <sheetViews>
    <sheetView defaultGridColor="0" colorId="55" zoomScaleNormal="100" workbookViewId="0">
      <selection activeCell="C6" sqref="C6"/>
    </sheetView>
  </sheetViews>
  <sheetFormatPr defaultRowHeight="12.75"/>
  <cols>
    <col min="1" max="1" width="3" style="10" customWidth="1"/>
    <col min="2" max="2" width="45.28515625" style="9" customWidth="1"/>
    <col min="3" max="18" width="8.42578125" style="10" customWidth="1"/>
    <col min="19" max="19" width="6" style="10" customWidth="1"/>
    <col min="20" max="16384" width="9.140625" style="10"/>
  </cols>
  <sheetData>
    <row r="6" ht="16.5" customHeight="1"/>
    <row r="7" ht="47.25" customHeight="1"/>
    <row r="20" spans="2:18" ht="24.75" customHeight="1">
      <c r="B20" s="164" t="s">
        <v>142</v>
      </c>
      <c r="C20" s="174" t="s">
        <v>143</v>
      </c>
      <c r="D20" s="174" t="s">
        <v>143</v>
      </c>
      <c r="E20" s="174" t="s">
        <v>143</v>
      </c>
      <c r="F20" s="174" t="s">
        <v>143</v>
      </c>
      <c r="G20" s="174" t="s">
        <v>143</v>
      </c>
      <c r="H20" s="174" t="s">
        <v>143</v>
      </c>
      <c r="I20" s="174" t="s">
        <v>143</v>
      </c>
      <c r="J20" s="174" t="s">
        <v>143</v>
      </c>
      <c r="K20" s="174" t="s">
        <v>143</v>
      </c>
      <c r="L20" s="174" t="s">
        <v>143</v>
      </c>
      <c r="M20" s="174" t="s">
        <v>143</v>
      </c>
      <c r="N20" s="174" t="s">
        <v>143</v>
      </c>
      <c r="O20" s="175"/>
      <c r="P20" s="174" t="s">
        <v>144</v>
      </c>
      <c r="Q20" s="174" t="s">
        <v>144</v>
      </c>
      <c r="R20" s="174" t="s">
        <v>144</v>
      </c>
    </row>
    <row r="21" spans="2:18" ht="24.75" customHeight="1" thickBot="1">
      <c r="C21" s="176">
        <v>0.41666666666666669</v>
      </c>
      <c r="D21" s="177">
        <v>0.52083333333333337</v>
      </c>
      <c r="E21" s="177">
        <v>0.5625</v>
      </c>
      <c r="F21" s="177">
        <v>0.60416666666666663</v>
      </c>
      <c r="G21" s="177">
        <v>0.64583333333333337</v>
      </c>
      <c r="H21" s="177">
        <v>0.6875</v>
      </c>
      <c r="I21" s="176">
        <v>0.75</v>
      </c>
      <c r="J21" s="177">
        <v>0.77083333333333337</v>
      </c>
      <c r="K21" s="177">
        <v>0.8125</v>
      </c>
      <c r="L21" s="178" t="s">
        <v>145</v>
      </c>
      <c r="M21" s="177">
        <v>0.14583333333333334</v>
      </c>
      <c r="N21" s="177">
        <v>0.1875</v>
      </c>
      <c r="O21" s="177" t="s">
        <v>145</v>
      </c>
      <c r="P21" s="177">
        <v>6.25E-2</v>
      </c>
      <c r="Q21" s="177">
        <v>0.10416666666666667</v>
      </c>
      <c r="R21" s="177">
        <v>0.14583333333333334</v>
      </c>
    </row>
    <row r="22" spans="2:18" ht="24.75" customHeight="1" thickBot="1">
      <c r="B22" s="180" t="s">
        <v>146</v>
      </c>
      <c r="C22" s="165"/>
      <c r="D22" s="166"/>
      <c r="E22" s="166"/>
      <c r="F22" s="166"/>
      <c r="G22" s="166"/>
      <c r="H22" s="167"/>
      <c r="I22" s="166"/>
      <c r="J22" s="166"/>
      <c r="K22" s="166"/>
      <c r="L22" s="166"/>
      <c r="M22" s="166"/>
      <c r="N22" s="166"/>
      <c r="O22" s="166"/>
      <c r="P22" s="166"/>
      <c r="Q22" s="166"/>
      <c r="R22" s="166"/>
    </row>
    <row r="23" spans="2:18" ht="24.75" customHeight="1" thickBot="1">
      <c r="B23" s="180" t="s">
        <v>147</v>
      </c>
      <c r="C23" s="168"/>
      <c r="D23" s="165"/>
      <c r="E23" s="166"/>
      <c r="F23" s="166"/>
      <c r="G23" s="166"/>
      <c r="H23" s="167"/>
      <c r="I23" s="166"/>
      <c r="J23" s="166"/>
      <c r="K23" s="166"/>
      <c r="L23" s="166"/>
      <c r="M23" s="166"/>
      <c r="N23" s="166"/>
      <c r="O23" s="166"/>
      <c r="P23" s="166"/>
      <c r="Q23" s="166"/>
      <c r="R23" s="166"/>
    </row>
    <row r="24" spans="2:18" ht="24.75" customHeight="1" thickBot="1">
      <c r="B24" s="180" t="s">
        <v>148</v>
      </c>
      <c r="C24" s="168"/>
      <c r="D24" s="168"/>
      <c r="E24" s="168"/>
      <c r="F24" s="168"/>
      <c r="G24" s="168"/>
      <c r="H24" s="169"/>
      <c r="I24" s="166"/>
      <c r="J24" s="165"/>
      <c r="K24" s="166"/>
      <c r="L24" s="166"/>
      <c r="M24" s="166"/>
      <c r="N24" s="166"/>
      <c r="O24" s="166"/>
      <c r="P24" s="166"/>
      <c r="Q24" s="166"/>
      <c r="R24" s="166"/>
    </row>
    <row r="25" spans="2:18" ht="24.75" customHeight="1" thickBot="1">
      <c r="B25" s="180" t="s">
        <v>149</v>
      </c>
      <c r="C25" s="168"/>
      <c r="D25" s="168"/>
      <c r="E25" s="168"/>
      <c r="F25" s="168"/>
      <c r="G25" s="168"/>
      <c r="H25" s="169"/>
      <c r="I25" s="166"/>
      <c r="J25" s="165"/>
      <c r="K25" s="166"/>
      <c r="L25" s="166"/>
      <c r="M25" s="166"/>
      <c r="N25" s="166"/>
      <c r="O25" s="166"/>
      <c r="P25" s="166"/>
      <c r="Q25" s="166"/>
      <c r="R25" s="166"/>
    </row>
    <row r="26" spans="2:18" ht="24.75" customHeight="1" thickBot="1">
      <c r="B26" s="180" t="s">
        <v>150</v>
      </c>
      <c r="C26" s="170"/>
      <c r="D26" s="170"/>
      <c r="E26" s="170"/>
      <c r="F26" s="170"/>
      <c r="G26" s="170"/>
      <c r="H26" s="171"/>
      <c r="I26" s="170"/>
      <c r="J26" s="166"/>
      <c r="K26" s="166"/>
      <c r="L26" s="166"/>
      <c r="M26" s="166"/>
      <c r="N26" s="166"/>
      <c r="O26" s="166"/>
      <c r="P26" s="166"/>
      <c r="Q26" s="166"/>
      <c r="R26" s="166"/>
    </row>
    <row r="27" spans="2:18" ht="24.75" customHeight="1" thickBot="1">
      <c r="B27" s="180" t="s">
        <v>151</v>
      </c>
      <c r="C27" s="170"/>
      <c r="D27" s="170"/>
      <c r="E27" s="170"/>
      <c r="F27" s="170"/>
      <c r="G27" s="170"/>
      <c r="H27" s="171"/>
      <c r="I27" s="170"/>
      <c r="J27" s="170"/>
      <c r="K27" s="170"/>
      <c r="L27" s="170"/>
      <c r="M27" s="170"/>
      <c r="N27" s="166"/>
      <c r="O27" s="166"/>
      <c r="P27" s="166"/>
      <c r="Q27" s="166"/>
      <c r="R27" s="166"/>
    </row>
    <row r="28" spans="2:18" ht="24.75" customHeight="1" thickBot="1">
      <c r="B28" s="180" t="s">
        <v>152</v>
      </c>
      <c r="C28" s="170"/>
      <c r="D28" s="170"/>
      <c r="E28" s="170"/>
      <c r="F28" s="170"/>
      <c r="G28" s="170"/>
      <c r="H28" s="171"/>
      <c r="I28" s="170"/>
      <c r="J28" s="170"/>
      <c r="K28" s="170"/>
      <c r="L28" s="170"/>
      <c r="M28" s="170"/>
      <c r="N28" s="170"/>
      <c r="O28" s="170"/>
      <c r="P28" s="170"/>
      <c r="Q28" s="170"/>
      <c r="R28" s="166"/>
    </row>
    <row r="29" spans="2:18" ht="6.75" customHeight="1" thickBot="1"/>
    <row r="30" spans="2:18" ht="24.75" customHeight="1" thickBot="1">
      <c r="C30" s="168"/>
      <c r="D30" s="172" t="s">
        <v>153</v>
      </c>
    </row>
    <row r="31" spans="2:18" ht="6.75" customHeight="1" thickBot="1">
      <c r="D31" s="173"/>
    </row>
    <row r="32" spans="2:18" ht="24.75" customHeight="1" thickBot="1">
      <c r="C32" s="165"/>
      <c r="D32" s="172" t="s">
        <v>154</v>
      </c>
      <c r="I32" s="179" t="s">
        <v>212</v>
      </c>
      <c r="J32" s="172" t="s">
        <v>211</v>
      </c>
    </row>
    <row r="33" spans="2:4" ht="6.75" customHeight="1" thickBot="1">
      <c r="D33" s="173"/>
    </row>
    <row r="34" spans="2:4" ht="24.75" customHeight="1" thickBot="1">
      <c r="C34" s="170"/>
      <c r="D34" s="172" t="s">
        <v>155</v>
      </c>
    </row>
    <row r="35" spans="2:4" ht="6.75" customHeight="1">
      <c r="D35" s="173"/>
    </row>
    <row r="36" spans="2:4" ht="24.75" customHeight="1"/>
    <row r="37" spans="2:4" ht="6.75" customHeight="1"/>
    <row r="38" spans="2:4" ht="24.75" customHeight="1">
      <c r="B38" s="172" t="s">
        <v>201</v>
      </c>
    </row>
    <row r="39" spans="2:4" ht="24.75" customHeight="1">
      <c r="C39" s="173"/>
    </row>
  </sheetData>
  <sheetProtection password="DBBB" sheet="1" objects="1" scenarios="1"/>
  <phoneticPr fontId="9" type="noConversion"/>
  <pageMargins left="0.26" right="0.31" top="0.52" bottom="0.52" header="0.5" footer="0.5"/>
  <pageSetup paperSize="9" scale="7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57"/>
    <pageSetUpPr fitToPage="1"/>
  </sheetPr>
  <dimension ref="A2:K49"/>
  <sheetViews>
    <sheetView defaultGridColor="0" colorId="55" zoomScaleNormal="100" workbookViewId="0">
      <selection activeCell="H4" sqref="H4"/>
    </sheetView>
  </sheetViews>
  <sheetFormatPr defaultRowHeight="12.75"/>
  <cols>
    <col min="1" max="1" width="96.5703125" style="1" customWidth="1"/>
    <col min="2" max="2" width="3" style="1" customWidth="1"/>
    <col min="3" max="6" width="12.5703125" style="1" customWidth="1"/>
    <col min="7" max="10" width="15.140625" style="1" customWidth="1"/>
    <col min="11" max="11" width="11" style="1" customWidth="1"/>
    <col min="12" max="16384" width="9.140625" style="1"/>
  </cols>
  <sheetData>
    <row r="2" spans="1:11" ht="13.5" thickBot="1"/>
    <row r="3" spans="1:11" ht="15.75" thickBot="1">
      <c r="A3" s="47"/>
      <c r="B3" s="101" t="s">
        <v>27</v>
      </c>
      <c r="C3" s="102"/>
      <c r="D3" s="103"/>
      <c r="H3" s="4"/>
    </row>
    <row r="4" spans="1:11">
      <c r="A4" s="48"/>
      <c r="B4" s="39"/>
      <c r="C4" s="33" t="s">
        <v>28</v>
      </c>
      <c r="D4" s="33"/>
      <c r="E4" s="33"/>
      <c r="F4" s="34">
        <v>0.42699999999999999</v>
      </c>
      <c r="H4" s="4"/>
      <c r="I4" s="206"/>
    </row>
    <row r="5" spans="1:11">
      <c r="A5" s="48"/>
      <c r="B5" s="31"/>
      <c r="C5" s="32" t="s">
        <v>29</v>
      </c>
      <c r="D5" s="32"/>
      <c r="E5" s="32"/>
      <c r="F5" s="35">
        <v>0.57899999999999996</v>
      </c>
      <c r="H5" s="4"/>
      <c r="I5" s="8"/>
    </row>
    <row r="6" spans="1:11" ht="13.5" thickBot="1">
      <c r="B6" s="36"/>
      <c r="C6" s="37" t="s">
        <v>30</v>
      </c>
      <c r="D6" s="37"/>
      <c r="E6" s="37"/>
      <c r="F6" s="40">
        <v>1000</v>
      </c>
      <c r="H6" s="4"/>
      <c r="I6" s="4"/>
    </row>
    <row r="7" spans="1:11" ht="13.5" thickBot="1">
      <c r="H7" s="4"/>
    </row>
    <row r="8" spans="1:11" ht="13.5" thickBot="1">
      <c r="B8" s="101" t="s">
        <v>26</v>
      </c>
      <c r="C8" s="104"/>
      <c r="D8" s="104"/>
      <c r="E8" s="104"/>
      <c r="F8" s="105"/>
    </row>
    <row r="9" spans="1:11">
      <c r="B9" s="31"/>
      <c r="C9" s="32" t="s">
        <v>7</v>
      </c>
      <c r="D9" s="32" t="s">
        <v>14</v>
      </c>
      <c r="E9" s="32" t="s">
        <v>5</v>
      </c>
      <c r="F9" s="32"/>
      <c r="G9" s="33"/>
      <c r="H9" s="33"/>
      <c r="I9" s="33"/>
      <c r="J9" s="33"/>
      <c r="K9" s="34"/>
    </row>
    <row r="10" spans="1:11">
      <c r="B10" s="31"/>
      <c r="C10" s="32" t="s">
        <v>7</v>
      </c>
      <c r="D10" s="32" t="s">
        <v>14</v>
      </c>
      <c r="E10" s="129">
        <v>0.755</v>
      </c>
      <c r="F10" s="32" t="s">
        <v>213</v>
      </c>
      <c r="G10" s="32"/>
      <c r="H10" s="32"/>
      <c r="I10" s="32"/>
      <c r="J10" s="32"/>
      <c r="K10" s="35"/>
    </row>
    <row r="11" spans="1:11">
      <c r="B11" s="31"/>
      <c r="C11" s="32" t="s">
        <v>8</v>
      </c>
      <c r="D11" s="32" t="s">
        <v>14</v>
      </c>
      <c r="E11" s="32" t="s">
        <v>4</v>
      </c>
      <c r="F11" s="32"/>
      <c r="G11" s="32"/>
      <c r="H11" s="32"/>
      <c r="I11" s="32"/>
      <c r="J11" s="32"/>
      <c r="K11" s="35"/>
    </row>
    <row r="12" spans="1:11">
      <c r="B12" s="31"/>
      <c r="C12" s="32" t="s">
        <v>9</v>
      </c>
      <c r="D12" s="32" t="s">
        <v>14</v>
      </c>
      <c r="E12" s="32" t="s">
        <v>12</v>
      </c>
      <c r="F12" s="32"/>
      <c r="G12" s="32"/>
      <c r="H12" s="32"/>
      <c r="I12" s="32"/>
      <c r="J12" s="32"/>
      <c r="K12" s="35"/>
    </row>
    <row r="13" spans="1:11">
      <c r="B13" s="31"/>
      <c r="C13" s="32" t="s">
        <v>10</v>
      </c>
      <c r="D13" s="32" t="s">
        <v>14</v>
      </c>
      <c r="E13" s="32" t="s">
        <v>6</v>
      </c>
      <c r="F13" s="32"/>
      <c r="G13" s="32"/>
      <c r="H13" s="32"/>
      <c r="I13" s="32"/>
      <c r="J13" s="32"/>
      <c r="K13" s="35"/>
    </row>
    <row r="14" spans="1:11">
      <c r="B14" s="31"/>
      <c r="C14" s="32" t="s">
        <v>11</v>
      </c>
      <c r="D14" s="32" t="s">
        <v>14</v>
      </c>
      <c r="E14" s="32" t="s">
        <v>210</v>
      </c>
      <c r="F14" s="32"/>
      <c r="G14" s="32"/>
      <c r="H14" s="32"/>
      <c r="I14" s="32"/>
      <c r="J14" s="32"/>
      <c r="K14" s="35"/>
    </row>
    <row r="15" spans="1:11">
      <c r="B15" s="31"/>
      <c r="C15" s="32" t="s">
        <v>13</v>
      </c>
      <c r="D15" s="32"/>
      <c r="E15" s="32" t="s">
        <v>14</v>
      </c>
      <c r="F15" s="32" t="s">
        <v>20</v>
      </c>
      <c r="G15" s="32"/>
      <c r="H15" s="32"/>
      <c r="I15" s="32"/>
      <c r="J15" s="32"/>
      <c r="K15" s="35"/>
    </row>
    <row r="16" spans="1:11">
      <c r="B16" s="31"/>
      <c r="C16" s="32" t="s">
        <v>23</v>
      </c>
      <c r="D16" s="32"/>
      <c r="E16" s="32"/>
      <c r="F16" s="32" t="s">
        <v>14</v>
      </c>
      <c r="G16" s="32" t="s">
        <v>24</v>
      </c>
      <c r="H16" s="32"/>
      <c r="I16" s="32"/>
      <c r="J16" s="32"/>
      <c r="K16" s="35"/>
    </row>
    <row r="17" spans="2:11">
      <c r="B17" s="31"/>
      <c r="C17" s="32"/>
      <c r="D17" s="32"/>
      <c r="E17" s="32"/>
      <c r="F17" s="32"/>
      <c r="G17" s="32"/>
      <c r="H17" s="32"/>
      <c r="I17" s="32"/>
      <c r="J17" s="32"/>
      <c r="K17" s="35"/>
    </row>
    <row r="18" spans="2:11">
      <c r="B18" s="31"/>
      <c r="C18" s="32"/>
      <c r="D18" s="32"/>
      <c r="E18" s="32"/>
      <c r="F18" s="32"/>
      <c r="G18" s="32"/>
      <c r="H18" s="32"/>
      <c r="I18" s="32"/>
      <c r="J18" s="32"/>
      <c r="K18" s="35"/>
    </row>
    <row r="19" spans="2:11">
      <c r="B19" s="31"/>
      <c r="C19" s="32"/>
      <c r="D19" s="32"/>
      <c r="E19" s="32"/>
      <c r="F19" s="32"/>
      <c r="G19" s="32"/>
      <c r="H19" s="32"/>
      <c r="I19" s="32"/>
      <c r="J19" s="32"/>
      <c r="K19" s="35"/>
    </row>
    <row r="20" spans="2:11" ht="13.5" thickBot="1">
      <c r="B20" s="36"/>
      <c r="C20" s="37"/>
      <c r="D20" s="37"/>
      <c r="E20" s="37"/>
      <c r="F20" s="37"/>
      <c r="G20" s="37"/>
      <c r="H20" s="37"/>
      <c r="I20" s="37"/>
      <c r="J20" s="37"/>
      <c r="K20" s="38"/>
    </row>
    <row r="21" spans="2:11" ht="13.5" thickBot="1">
      <c r="H21" s="4"/>
    </row>
    <row r="22" spans="2:11" ht="13.5" thickBot="1">
      <c r="B22" s="106" t="s">
        <v>16</v>
      </c>
      <c r="C22" s="107"/>
      <c r="D22" s="107"/>
      <c r="E22" s="107"/>
      <c r="F22" s="108"/>
    </row>
    <row r="23" spans="2:11">
      <c r="B23" s="41"/>
      <c r="C23" s="33"/>
      <c r="D23" s="33"/>
      <c r="E23" s="33"/>
      <c r="F23" s="33"/>
      <c r="G23" s="13"/>
      <c r="H23" s="13"/>
      <c r="I23" s="13"/>
      <c r="J23" s="13"/>
      <c r="K23" s="14"/>
    </row>
    <row r="24" spans="2:11">
      <c r="B24" s="42"/>
      <c r="C24" s="32" t="s">
        <v>31</v>
      </c>
      <c r="D24" s="32"/>
      <c r="E24" s="32"/>
      <c r="F24" s="32" t="s">
        <v>14</v>
      </c>
      <c r="G24" s="235">
        <v>1000000</v>
      </c>
      <c r="H24" s="16"/>
      <c r="I24" s="16"/>
      <c r="J24" s="16"/>
      <c r="K24" s="17"/>
    </row>
    <row r="25" spans="2:11">
      <c r="B25" s="42"/>
      <c r="C25" s="32"/>
      <c r="D25" s="32"/>
      <c r="E25" s="32"/>
      <c r="F25" s="32"/>
      <c r="G25" s="16"/>
      <c r="H25" s="16"/>
      <c r="I25" s="16"/>
      <c r="J25" s="16"/>
      <c r="K25" s="17"/>
    </row>
    <row r="26" spans="2:11">
      <c r="B26" s="31"/>
      <c r="C26" s="32" t="s">
        <v>17</v>
      </c>
      <c r="D26" s="32"/>
      <c r="E26" s="32"/>
      <c r="F26" s="32" t="s">
        <v>14</v>
      </c>
      <c r="G26" s="95">
        <f>G24*F4</f>
        <v>427000</v>
      </c>
      <c r="H26" s="16"/>
      <c r="I26" s="16"/>
      <c r="J26" s="16"/>
      <c r="K26" s="17"/>
    </row>
    <row r="27" spans="2:11">
      <c r="B27" s="31"/>
      <c r="C27" s="32" t="s">
        <v>18</v>
      </c>
      <c r="D27" s="32"/>
      <c r="E27" s="32"/>
      <c r="F27" s="32" t="s">
        <v>14</v>
      </c>
      <c r="G27" s="95">
        <f>G24*F6</f>
        <v>1000000000</v>
      </c>
      <c r="H27" s="16"/>
      <c r="I27" s="16"/>
      <c r="J27" s="16"/>
      <c r="K27" s="17"/>
    </row>
    <row r="28" spans="2:11">
      <c r="B28" s="31"/>
      <c r="C28" s="32"/>
      <c r="D28" s="32"/>
      <c r="E28" s="32"/>
      <c r="F28" s="32"/>
      <c r="G28" s="22"/>
      <c r="H28" s="23"/>
      <c r="I28" s="16"/>
      <c r="J28" s="16"/>
      <c r="K28" s="17"/>
    </row>
    <row r="29" spans="2:11">
      <c r="B29" s="31"/>
      <c r="C29" s="32"/>
      <c r="D29" s="32"/>
      <c r="E29" s="32"/>
      <c r="F29" s="32"/>
      <c r="G29" s="228" t="s">
        <v>199</v>
      </c>
      <c r="H29" s="32"/>
      <c r="I29" s="228" t="s">
        <v>200</v>
      </c>
      <c r="J29" s="24"/>
      <c r="K29" s="25"/>
    </row>
    <row r="30" spans="2:11" ht="13.5" thickBot="1">
      <c r="B30" s="36"/>
      <c r="C30" s="37" t="s">
        <v>115</v>
      </c>
      <c r="D30" s="37"/>
      <c r="E30" s="37"/>
      <c r="F30" s="37" t="s">
        <v>14</v>
      </c>
      <c r="G30" s="30">
        <v>500000000</v>
      </c>
      <c r="H30" s="37"/>
      <c r="I30" s="236">
        <v>510248000</v>
      </c>
      <c r="J30" s="26"/>
      <c r="K30" s="20"/>
    </row>
    <row r="31" spans="2:11" ht="13.5" thickBot="1"/>
    <row r="32" spans="2:11" ht="13.5" thickBot="1">
      <c r="B32" s="106" t="s">
        <v>15</v>
      </c>
      <c r="C32" s="107"/>
      <c r="D32" s="107"/>
      <c r="E32" s="107"/>
      <c r="F32" s="108"/>
    </row>
    <row r="33" spans="2:11">
      <c r="B33" s="41"/>
      <c r="C33" s="33"/>
      <c r="D33" s="33"/>
      <c r="E33" s="33"/>
      <c r="F33" s="33"/>
      <c r="G33" s="27" t="s">
        <v>93</v>
      </c>
      <c r="H33" s="27" t="s">
        <v>94</v>
      </c>
      <c r="I33" s="27" t="s">
        <v>95</v>
      </c>
      <c r="J33" s="27" t="s">
        <v>96</v>
      </c>
      <c r="K33" s="44"/>
    </row>
    <row r="34" spans="2:11">
      <c r="B34" s="31"/>
      <c r="C34" s="32" t="s">
        <v>8</v>
      </c>
      <c r="D34" s="32" t="s">
        <v>14</v>
      </c>
      <c r="E34" s="32"/>
      <c r="F34" s="32"/>
      <c r="G34" s="237">
        <v>0.2</v>
      </c>
      <c r="H34" s="237">
        <v>0.2</v>
      </c>
      <c r="I34" s="237"/>
      <c r="J34" s="237"/>
      <c r="K34" s="35"/>
    </row>
    <row r="35" spans="2:11">
      <c r="B35" s="31"/>
      <c r="C35" s="32" t="s">
        <v>9</v>
      </c>
      <c r="D35" s="32" t="s">
        <v>14</v>
      </c>
      <c r="E35" s="32"/>
      <c r="F35" s="32"/>
      <c r="G35" s="237">
        <v>0.1</v>
      </c>
      <c r="H35" s="237">
        <v>0.7</v>
      </c>
      <c r="I35" s="237"/>
      <c r="J35" s="237"/>
      <c r="K35" s="35"/>
    </row>
    <row r="36" spans="2:11">
      <c r="B36" s="31"/>
      <c r="C36" s="32" t="s">
        <v>10</v>
      </c>
      <c r="D36" s="32" t="s">
        <v>14</v>
      </c>
      <c r="E36" s="32"/>
      <c r="F36" s="32"/>
      <c r="G36" s="237">
        <v>0.3</v>
      </c>
      <c r="H36" s="237"/>
      <c r="I36" s="237">
        <v>0.8</v>
      </c>
      <c r="J36" s="237"/>
      <c r="K36" s="35"/>
    </row>
    <row r="37" spans="2:11" ht="13.5" thickBot="1">
      <c r="B37" s="36"/>
      <c r="C37" s="37" t="s">
        <v>11</v>
      </c>
      <c r="D37" s="37" t="s">
        <v>14</v>
      </c>
      <c r="E37" s="37"/>
      <c r="F37" s="37"/>
      <c r="G37" s="238"/>
      <c r="H37" s="238"/>
      <c r="I37" s="238"/>
      <c r="J37" s="238"/>
      <c r="K37" s="38"/>
    </row>
    <row r="38" spans="2:11" ht="13.5" thickBot="1"/>
    <row r="39" spans="2:11" ht="13.5" thickBot="1">
      <c r="B39" s="106" t="s">
        <v>13</v>
      </c>
      <c r="C39" s="107"/>
      <c r="D39" s="107"/>
      <c r="E39" s="107"/>
      <c r="F39" s="108"/>
    </row>
    <row r="40" spans="2:11">
      <c r="B40" s="39"/>
      <c r="C40" s="33"/>
      <c r="D40" s="33"/>
      <c r="E40" s="33"/>
      <c r="F40" s="33"/>
      <c r="G40" s="29" t="s">
        <v>32</v>
      </c>
      <c r="H40" s="29" t="s">
        <v>33</v>
      </c>
      <c r="I40" s="29" t="s">
        <v>34</v>
      </c>
      <c r="J40" s="29" t="s">
        <v>35</v>
      </c>
      <c r="K40" s="28"/>
    </row>
    <row r="41" spans="2:11">
      <c r="B41" s="31"/>
      <c r="C41" s="32" t="s">
        <v>7</v>
      </c>
      <c r="D41" s="32"/>
      <c r="E41" s="32"/>
      <c r="F41" s="32" t="s">
        <v>14</v>
      </c>
      <c r="G41" s="94">
        <f>$E$10+(1-$E$10)*($G$27-G30)/$G$27</f>
        <v>0.87749999999999995</v>
      </c>
      <c r="H41" s="94">
        <f>$E$10+(1-$E$10)*($G$27-G30)/$G$27</f>
        <v>0.87749999999999995</v>
      </c>
      <c r="I41" s="94">
        <f>$E$10+(1-$E$10)*($G$27-I30)/$G$27</f>
        <v>0.87498924</v>
      </c>
      <c r="J41" s="94">
        <f>$E$10+(1-$E$10)*($G$27-I30)/$G$27</f>
        <v>0.87498924</v>
      </c>
      <c r="K41" s="17"/>
    </row>
    <row r="42" spans="2:11">
      <c r="B42" s="31"/>
      <c r="C42" s="32" t="s">
        <v>21</v>
      </c>
      <c r="D42" s="32"/>
      <c r="E42" s="32"/>
      <c r="F42" s="32" t="s">
        <v>14</v>
      </c>
      <c r="G42" s="99">
        <f>1-G34-G35-G36-G37</f>
        <v>0.40000000000000008</v>
      </c>
      <c r="H42" s="99">
        <f>1-H34-H35-H36-H37</f>
        <v>0.10000000000000009</v>
      </c>
      <c r="I42" s="99">
        <f>1-I34-I35-I36-I37</f>
        <v>0.19999999999999996</v>
      </c>
      <c r="J42" s="99">
        <f>1-J34-J35-J36-J37</f>
        <v>1</v>
      </c>
      <c r="K42" s="17"/>
    </row>
    <row r="43" spans="2:11" ht="13.5" thickBot="1">
      <c r="B43" s="36"/>
      <c r="C43" s="37" t="s">
        <v>19</v>
      </c>
      <c r="D43" s="37"/>
      <c r="E43" s="45"/>
      <c r="F43" s="37" t="s">
        <v>14</v>
      </c>
      <c r="G43" s="100">
        <f>MAX(ROUNDUP($G$26*G41*G42,0),0)</f>
        <v>149877</v>
      </c>
      <c r="H43" s="100">
        <f>MAX(ROUNDUP($G$26*H41*H42,0),0)</f>
        <v>37470</v>
      </c>
      <c r="I43" s="100">
        <f>MAX(ROUNDUP($G$26*I41*I42,0),0)</f>
        <v>74725</v>
      </c>
      <c r="J43" s="100">
        <f>MAX(ROUNDUP($G$26*J41*J42,0),0)</f>
        <v>373621</v>
      </c>
      <c r="K43" s="20"/>
    </row>
    <row r="44" spans="2:11" ht="13.5" thickBot="1"/>
    <row r="45" spans="2:11" ht="13.5" thickBot="1">
      <c r="B45" s="106" t="s">
        <v>22</v>
      </c>
      <c r="C45" s="107"/>
      <c r="D45" s="107"/>
      <c r="E45" s="107"/>
      <c r="F45" s="108"/>
    </row>
    <row r="46" spans="2:11">
      <c r="B46" s="41"/>
      <c r="C46" s="33" t="s">
        <v>205</v>
      </c>
      <c r="D46" s="33"/>
      <c r="E46" s="33"/>
      <c r="F46" s="33"/>
      <c r="G46" s="239">
        <v>5</v>
      </c>
      <c r="H46" s="33"/>
      <c r="I46" s="33"/>
      <c r="J46" s="33"/>
      <c r="K46" s="34"/>
    </row>
    <row r="47" spans="2:11">
      <c r="B47" s="42"/>
      <c r="C47" s="32"/>
      <c r="D47" s="32"/>
      <c r="E47" s="32"/>
      <c r="F47" s="32"/>
      <c r="G47" s="32"/>
      <c r="H47" s="32"/>
      <c r="I47" s="32"/>
      <c r="J47" s="32"/>
      <c r="K47" s="35"/>
    </row>
    <row r="48" spans="2:11">
      <c r="B48" s="31"/>
      <c r="C48" s="32"/>
      <c r="D48" s="32"/>
      <c r="E48" s="32"/>
      <c r="F48" s="32"/>
      <c r="G48" s="43" t="s">
        <v>93</v>
      </c>
      <c r="H48" s="43" t="s">
        <v>94</v>
      </c>
      <c r="I48" s="43" t="s">
        <v>95</v>
      </c>
      <c r="J48" s="43" t="s">
        <v>96</v>
      </c>
      <c r="K48" s="46"/>
    </row>
    <row r="49" spans="2:11" ht="13.5" thickBot="1">
      <c r="B49" s="36"/>
      <c r="C49" s="37" t="s">
        <v>25</v>
      </c>
      <c r="D49" s="37"/>
      <c r="E49" s="45"/>
      <c r="F49" s="37"/>
      <c r="G49" s="232">
        <f>0.5*$G$46*$G$26*G41*G36/1000</f>
        <v>281.01937500000003</v>
      </c>
      <c r="H49" s="232">
        <f>0.5*$G$46*$G$26*H41*H36/1000</f>
        <v>0</v>
      </c>
      <c r="I49" s="232">
        <f>0.5*$G$46*$G$26*I41*I36/1000</f>
        <v>747.24081095999998</v>
      </c>
      <c r="J49" s="232">
        <f>0.5*$G$46*$G$26*J41*J36/1000</f>
        <v>0</v>
      </c>
      <c r="K49" s="20"/>
    </row>
  </sheetData>
  <sheetProtection password="DBBB" sheet="1" objects="1" scenarios="1"/>
  <phoneticPr fontId="0" type="noConversion"/>
  <pageMargins left="0.4" right="0.21" top="0.56000000000000005" bottom="1" header="0.5" footer="0.5"/>
  <pageSetup paperSize="8" scale="9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18"/>
    <pageSetUpPr fitToPage="1"/>
  </sheetPr>
  <dimension ref="A1"/>
  <sheetViews>
    <sheetView defaultGridColor="0" colorId="55" workbookViewId="0">
      <selection activeCell="A6" sqref="A6"/>
    </sheetView>
  </sheetViews>
  <sheetFormatPr defaultRowHeight="12.75"/>
  <cols>
    <col min="1" max="16384" width="9.140625" style="11"/>
  </cols>
  <sheetData/>
  <sheetProtection password="DBBB" sheet="1" objects="1" scenarios="1"/>
  <phoneticPr fontId="9" type="noConversion"/>
  <pageMargins left="0.26" right="0.27" top="0.59" bottom="1" header="0.5" footer="0.5"/>
  <pageSetup paperSize="8" scale="9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8"/>
    <pageSetUpPr fitToPage="1"/>
  </sheetPr>
  <dimension ref="A1:O51"/>
  <sheetViews>
    <sheetView tabSelected="1" defaultGridColor="0" colorId="55" zoomScaleNormal="100" workbookViewId="0">
      <selection activeCell="H14" sqref="H14"/>
    </sheetView>
  </sheetViews>
  <sheetFormatPr defaultRowHeight="12.75"/>
  <cols>
    <col min="1" max="1" width="100.42578125" style="1" customWidth="1"/>
    <col min="2" max="2" width="3" style="1" customWidth="1"/>
    <col min="3" max="5" width="12.5703125" style="1" customWidth="1"/>
    <col min="6" max="6" width="4.85546875" style="1" customWidth="1"/>
    <col min="7" max="10" width="16.7109375" style="1" customWidth="1"/>
    <col min="11" max="11" width="3.140625" style="1" customWidth="1"/>
    <col min="12" max="13" width="9.140625" style="1"/>
    <col min="14" max="14" width="13.28515625" style="1" customWidth="1"/>
    <col min="15" max="15" width="14.7109375" style="1" bestFit="1" customWidth="1"/>
    <col min="16" max="16384" width="9.140625" style="1"/>
  </cols>
  <sheetData>
    <row r="1" spans="1:15" ht="122.25" customHeight="1"/>
    <row r="2" spans="1:15" ht="15">
      <c r="A2" s="3"/>
      <c r="C2" s="206"/>
    </row>
    <row r="3" spans="1:15">
      <c r="C3" s="4"/>
    </row>
    <row r="4" spans="1:15" ht="51.75" customHeight="1" thickBot="1"/>
    <row r="5" spans="1:15" ht="13.5" thickBot="1">
      <c r="A5" s="8"/>
      <c r="B5" s="120" t="s">
        <v>36</v>
      </c>
      <c r="C5" s="121"/>
      <c r="D5" s="121"/>
      <c r="E5" s="121"/>
      <c r="F5" s="122"/>
    </row>
    <row r="6" spans="1:15">
      <c r="B6" s="12"/>
      <c r="C6" s="13"/>
      <c r="D6" s="13"/>
      <c r="E6" s="13"/>
      <c r="F6" s="13"/>
      <c r="G6" s="29" t="s">
        <v>42</v>
      </c>
      <c r="H6" s="54" t="s">
        <v>37</v>
      </c>
      <c r="I6" s="54" t="s">
        <v>38</v>
      </c>
      <c r="J6" s="54" t="s">
        <v>39</v>
      </c>
      <c r="K6" s="80"/>
    </row>
    <row r="7" spans="1:15">
      <c r="B7" s="15"/>
      <c r="C7" s="16" t="s">
        <v>90</v>
      </c>
      <c r="D7" s="16"/>
      <c r="E7" s="16"/>
      <c r="F7" s="16"/>
      <c r="G7" s="5">
        <f>SUM(H7:J7)</f>
        <v>2562000</v>
      </c>
      <c r="H7" s="235">
        <v>427000</v>
      </c>
      <c r="I7" s="235">
        <v>1281000</v>
      </c>
      <c r="J7" s="235">
        <v>854000</v>
      </c>
      <c r="K7" s="81"/>
    </row>
    <row r="8" spans="1:15">
      <c r="B8" s="15"/>
      <c r="C8" s="16" t="s">
        <v>91</v>
      </c>
      <c r="D8" s="16"/>
      <c r="E8" s="16"/>
      <c r="F8" s="16"/>
      <c r="G8" s="5">
        <f>SUM(H8:J8)</f>
        <v>-3474000</v>
      </c>
      <c r="H8" s="235">
        <v>-579000</v>
      </c>
      <c r="I8" s="235">
        <v>-1737000</v>
      </c>
      <c r="J8" s="235">
        <v>-1158000</v>
      </c>
      <c r="K8" s="81"/>
    </row>
    <row r="9" spans="1:15">
      <c r="B9" s="15"/>
      <c r="C9" s="16" t="s">
        <v>92</v>
      </c>
      <c r="D9" s="16"/>
      <c r="E9" s="16"/>
      <c r="F9" s="16"/>
      <c r="G9" s="5">
        <f>SUM(H9:J9)</f>
        <v>6000000000</v>
      </c>
      <c r="H9" s="235">
        <v>1000000000</v>
      </c>
      <c r="I9" s="235">
        <v>3000000000</v>
      </c>
      <c r="J9" s="235">
        <v>2000000000</v>
      </c>
      <c r="K9" s="81"/>
      <c r="N9" s="224"/>
    </row>
    <row r="10" spans="1:15">
      <c r="B10" s="15"/>
      <c r="C10" s="16"/>
      <c r="D10" s="16"/>
      <c r="E10" s="16"/>
      <c r="F10" s="16"/>
      <c r="G10" s="16"/>
      <c r="H10" s="16"/>
      <c r="I10" s="16"/>
      <c r="J10" s="16"/>
      <c r="K10" s="35"/>
      <c r="N10" s="207"/>
    </row>
    <row r="11" spans="1:15">
      <c r="B11" s="15"/>
      <c r="C11" s="16" t="s">
        <v>203</v>
      </c>
      <c r="D11" s="16"/>
      <c r="E11" s="16"/>
      <c r="F11" s="16"/>
      <c r="G11" s="5">
        <f>SUM(H11:J11)</f>
        <v>3400000000</v>
      </c>
      <c r="H11" s="235">
        <v>200000000</v>
      </c>
      <c r="I11" s="235">
        <v>1500000000</v>
      </c>
      <c r="J11" s="235">
        <v>1700000000</v>
      </c>
      <c r="K11" s="81"/>
      <c r="N11" s="225"/>
      <c r="O11" s="2"/>
    </row>
    <row r="12" spans="1:15">
      <c r="B12" s="15"/>
      <c r="C12" s="16" t="s">
        <v>204</v>
      </c>
      <c r="D12" s="16"/>
      <c r="E12" s="16"/>
      <c r="F12" s="16"/>
      <c r="G12" s="5">
        <f>SUM(H12:J12)</f>
        <v>3401500000</v>
      </c>
      <c r="H12" s="235">
        <v>199500000</v>
      </c>
      <c r="I12" s="235">
        <v>1501000000</v>
      </c>
      <c r="J12" s="235">
        <v>1701000000</v>
      </c>
      <c r="K12" s="81"/>
      <c r="O12" s="2"/>
    </row>
    <row r="13" spans="1:15">
      <c r="B13" s="15"/>
      <c r="C13" s="16"/>
      <c r="D13" s="16"/>
      <c r="E13" s="16"/>
      <c r="F13" s="16"/>
      <c r="G13" s="16"/>
      <c r="H13" s="16"/>
      <c r="I13" s="16"/>
      <c r="J13" s="16"/>
      <c r="K13" s="35"/>
      <c r="O13" s="2"/>
    </row>
    <row r="14" spans="1:15">
      <c r="B14" s="15"/>
      <c r="C14" s="16" t="s">
        <v>40</v>
      </c>
      <c r="D14" s="16"/>
      <c r="E14" s="16"/>
      <c r="F14" s="16"/>
      <c r="G14" s="16"/>
      <c r="H14" s="94">
        <f>IF(H9=0,0.755,0.755+0.245*(H9-H11)/H9)</f>
        <v>0.95100000000000007</v>
      </c>
      <c r="I14" s="94">
        <f>IF(I9=0,0.755,0.755+0.245*(I9-I11)/I9)</f>
        <v>0.87749999999999995</v>
      </c>
      <c r="J14" s="94">
        <f>IF(J9=0,0.755,0.755+0.245*(J9-J11)/J9)</f>
        <v>0.79174999999999995</v>
      </c>
      <c r="K14" s="82"/>
    </row>
    <row r="15" spans="1:15">
      <c r="B15" s="15"/>
      <c r="C15" s="16" t="s">
        <v>46</v>
      </c>
      <c r="D15" s="16"/>
      <c r="E15" s="16"/>
      <c r="F15" s="16"/>
      <c r="G15" s="16"/>
      <c r="H15" s="94">
        <f>MIN(IF(H9=0,0.523,0.523+0.477*H11/H9),1)</f>
        <v>0.61840000000000006</v>
      </c>
      <c r="I15" s="94">
        <f>MIN(IF(I9=0,0.523,0.523+0.477*I11/I9),1)</f>
        <v>0.76150000000000007</v>
      </c>
      <c r="J15" s="94">
        <f>MIN(IF(J9=0,0.523,0.523+0.477*J11/J9),1)</f>
        <v>0.92845</v>
      </c>
      <c r="K15" s="82"/>
    </row>
    <row r="16" spans="1:15">
      <c r="B16" s="15"/>
      <c r="C16" s="16"/>
      <c r="D16" s="16"/>
      <c r="E16" s="16"/>
      <c r="F16" s="16"/>
      <c r="G16" s="16"/>
      <c r="H16" s="16"/>
      <c r="I16" s="16"/>
      <c r="J16" s="16"/>
      <c r="K16" s="35"/>
    </row>
    <row r="17" spans="1:11">
      <c r="A17" s="97"/>
      <c r="B17" s="218">
        <v>1</v>
      </c>
      <c r="C17" s="16" t="s">
        <v>44</v>
      </c>
      <c r="D17" s="16"/>
      <c r="E17" s="49"/>
      <c r="F17" s="16"/>
      <c r="G17" s="5">
        <f>SUM(H17:J17)</f>
        <v>2206310</v>
      </c>
      <c r="H17" s="95">
        <f t="shared" ref="H17:J18" si="0">ROUNDUP(H14*H7,0)</f>
        <v>406077</v>
      </c>
      <c r="I17" s="95">
        <f t="shared" si="0"/>
        <v>1124078</v>
      </c>
      <c r="J17" s="95">
        <f t="shared" si="0"/>
        <v>676155</v>
      </c>
      <c r="K17" s="17"/>
    </row>
    <row r="18" spans="1:11">
      <c r="A18" s="97"/>
      <c r="B18" s="218">
        <v>2</v>
      </c>
      <c r="C18" s="16" t="s">
        <v>45</v>
      </c>
      <c r="D18" s="16"/>
      <c r="E18" s="16"/>
      <c r="F18" s="16"/>
      <c r="G18" s="5">
        <f>SUM(H18:J18)</f>
        <v>-2755926</v>
      </c>
      <c r="H18" s="95">
        <f t="shared" si="0"/>
        <v>-358054</v>
      </c>
      <c r="I18" s="95">
        <f t="shared" si="0"/>
        <v>-1322726</v>
      </c>
      <c r="J18" s="95">
        <f t="shared" si="0"/>
        <v>-1075146</v>
      </c>
      <c r="K18" s="17"/>
    </row>
    <row r="19" spans="1:11">
      <c r="A19" s="97"/>
      <c r="B19" s="219"/>
      <c r="C19" s="16"/>
      <c r="D19" s="16"/>
      <c r="E19" s="16"/>
      <c r="F19" s="16"/>
      <c r="G19" s="16"/>
      <c r="H19" s="16"/>
      <c r="I19" s="16"/>
      <c r="J19" s="16"/>
      <c r="K19" s="17"/>
    </row>
    <row r="20" spans="1:11">
      <c r="A20" s="97"/>
      <c r="B20" s="219"/>
      <c r="C20" s="50" t="s">
        <v>41</v>
      </c>
      <c r="D20" s="16"/>
      <c r="E20" s="16"/>
      <c r="F20" s="16"/>
      <c r="G20" s="16"/>
      <c r="H20" s="16"/>
      <c r="I20" s="16"/>
      <c r="J20" s="16"/>
      <c r="K20" s="17"/>
    </row>
    <row r="21" spans="1:11">
      <c r="A21" s="97"/>
      <c r="B21" s="219">
        <v>3</v>
      </c>
      <c r="C21" s="16" t="s">
        <v>114</v>
      </c>
      <c r="D21" s="16"/>
      <c r="E21" s="16"/>
      <c r="F21" s="16"/>
      <c r="G21" s="5">
        <f>SUM(H21:J21)</f>
        <v>1500000</v>
      </c>
      <c r="H21" s="235">
        <v>-500000</v>
      </c>
      <c r="I21" s="235">
        <v>1000000</v>
      </c>
      <c r="J21" s="235">
        <v>1000000</v>
      </c>
      <c r="K21" s="17"/>
    </row>
    <row r="22" spans="1:11">
      <c r="A22" s="97"/>
      <c r="B22" s="219">
        <v>4</v>
      </c>
      <c r="C22" s="51" t="s">
        <v>156</v>
      </c>
      <c r="D22" s="16"/>
      <c r="E22" s="16"/>
      <c r="F22" s="16"/>
      <c r="G22" s="5">
        <f>SUM(H22:J22)</f>
        <v>1500000</v>
      </c>
      <c r="H22" s="95">
        <f>IF(H12+H21&lt;0,-H12,H21)</f>
        <v>-500000</v>
      </c>
      <c r="I22" s="95">
        <f>IF(I12+I21&lt;0,-I12,I21)</f>
        <v>1000000</v>
      </c>
      <c r="J22" s="95">
        <f>IF(J12+J21&lt;0,-J12,J21)</f>
        <v>1000000</v>
      </c>
      <c r="K22" s="17"/>
    </row>
    <row r="23" spans="1:11">
      <c r="A23" s="97"/>
      <c r="B23" s="219"/>
      <c r="C23" s="16"/>
      <c r="D23" s="16"/>
      <c r="E23" s="16"/>
      <c r="F23" s="16"/>
      <c r="G23" s="16"/>
      <c r="H23" s="16"/>
      <c r="I23" s="16"/>
      <c r="J23" s="16"/>
      <c r="K23" s="17"/>
    </row>
    <row r="24" spans="1:11">
      <c r="A24" s="97"/>
      <c r="B24" s="219">
        <v>5</v>
      </c>
      <c r="C24" s="16" t="s">
        <v>43</v>
      </c>
      <c r="D24" s="21"/>
      <c r="E24" s="21"/>
      <c r="F24" s="16"/>
      <c r="G24" s="6" t="str">
        <f>IF(G22&gt;0,"Injection",IF(G22&lt;0,"Withdrawal","Zero Flow"))</f>
        <v>Injection</v>
      </c>
      <c r="H24" s="16"/>
      <c r="I24" s="16"/>
      <c r="J24" s="16"/>
      <c r="K24" s="17"/>
    </row>
    <row r="25" spans="1:11">
      <c r="A25" s="97"/>
      <c r="B25" s="220"/>
      <c r="C25" s="16"/>
      <c r="D25" s="16"/>
      <c r="E25" s="16"/>
      <c r="F25" s="16"/>
      <c r="G25" s="56" t="s">
        <v>62</v>
      </c>
      <c r="H25" s="16"/>
      <c r="I25" s="16"/>
      <c r="J25" s="16"/>
      <c r="K25" s="17"/>
    </row>
    <row r="26" spans="1:11">
      <c r="A26" s="97"/>
      <c r="B26" s="219">
        <v>6</v>
      </c>
      <c r="C26" s="16" t="s">
        <v>47</v>
      </c>
      <c r="D26" s="16"/>
      <c r="E26" s="16"/>
      <c r="F26" s="16"/>
      <c r="G26" s="16"/>
      <c r="H26" s="222" t="str">
        <f>IF(H7&gt;0,"Primary","Secondary")</f>
        <v>Primary</v>
      </c>
      <c r="I26" s="222" t="str">
        <f>IF(I7&gt;0,"Primary","Secondary")</f>
        <v>Primary</v>
      </c>
      <c r="J26" s="222" t="str">
        <f>IF(J7&gt;0,"Primary","Secondary")</f>
        <v>Primary</v>
      </c>
      <c r="K26" s="17"/>
    </row>
    <row r="27" spans="1:11">
      <c r="A27" s="97"/>
      <c r="B27" s="219">
        <v>7</v>
      </c>
      <c r="C27" s="16" t="s">
        <v>48</v>
      </c>
      <c r="D27" s="16"/>
      <c r="E27" s="16"/>
      <c r="F27" s="16"/>
      <c r="G27" s="16"/>
      <c r="H27" s="222" t="str">
        <f>IF(H8&lt;0,"Primary","Secondary")</f>
        <v>Primary</v>
      </c>
      <c r="I27" s="222" t="str">
        <f>IF(I8&lt;0,"Primary","Secondary")</f>
        <v>Primary</v>
      </c>
      <c r="J27" s="222" t="str">
        <f>IF(J8&lt;0,"Primary","Secondary")</f>
        <v>Primary</v>
      </c>
      <c r="K27" s="17"/>
    </row>
    <row r="28" spans="1:11">
      <c r="A28" s="97"/>
      <c r="B28" s="219"/>
      <c r="C28" s="16"/>
      <c r="D28" s="16"/>
      <c r="E28" s="16"/>
      <c r="F28" s="16"/>
      <c r="G28" s="16"/>
      <c r="H28" s="16"/>
      <c r="I28" s="16"/>
      <c r="J28" s="16"/>
      <c r="K28" s="17"/>
    </row>
    <row r="29" spans="1:11">
      <c r="A29" s="97"/>
      <c r="B29" s="219">
        <v>8</v>
      </c>
      <c r="C29" s="16" t="s">
        <v>49</v>
      </c>
      <c r="D29" s="16"/>
      <c r="E29" s="16"/>
      <c r="F29" s="16"/>
      <c r="G29" s="5">
        <f>SUM(H29:J29)</f>
        <v>1318101</v>
      </c>
      <c r="H29" s="95">
        <f>IF(H22&gt;0,MIN(H22,H17),IF(H22&lt;0,MAX(H22,H18),0))</f>
        <v>-358054</v>
      </c>
      <c r="I29" s="95">
        <f>IF(I22&gt;0,MIN(I22,I17),IF(I22&lt;0,MAX(I22,I18),0))</f>
        <v>1000000</v>
      </c>
      <c r="J29" s="95">
        <f>IF(J22&gt;0,MIN(J22,J17),IF(J22&lt;0,MAX(J22,J18),0))</f>
        <v>676155</v>
      </c>
      <c r="K29" s="17"/>
    </row>
    <row r="30" spans="1:11">
      <c r="A30" s="97"/>
      <c r="B30" s="219">
        <v>9</v>
      </c>
      <c r="C30" s="16" t="s">
        <v>197</v>
      </c>
      <c r="D30" s="16"/>
      <c r="E30" s="16"/>
      <c r="F30" s="16"/>
      <c r="G30" s="5">
        <f>SUM(H30:J30)</f>
        <v>-141946</v>
      </c>
      <c r="H30" s="95">
        <f>IF(AND($G$24="Injection",H22-H29&lt;=0),H22-H29,IF(AND($G$24="Withdrawal",H22-H29&gt;0),H22-H29,0))</f>
        <v>-141946</v>
      </c>
      <c r="I30" s="95">
        <f>IF(AND($G$24="Injection",I22-I29&lt;=0),I22-I29,IF(AND($G$24="Withdrawal",I22-I29&gt;0),I22-I29,0))</f>
        <v>0</v>
      </c>
      <c r="J30" s="95">
        <f>IF(AND($G$24="Injection",J22-J29&lt;=0),J22-J29,IF(AND($G$24="Withdrawal",J22-J29&gt;0),J22-J29,0))</f>
        <v>0</v>
      </c>
      <c r="K30" s="17"/>
    </row>
    <row r="31" spans="1:11">
      <c r="A31" s="97"/>
      <c r="B31" s="219">
        <v>10</v>
      </c>
      <c r="C31" s="16" t="s">
        <v>51</v>
      </c>
      <c r="D31" s="16"/>
      <c r="E31" s="16"/>
      <c r="F31" s="16"/>
      <c r="G31" s="5">
        <f>SUM(H31:J31)</f>
        <v>323845</v>
      </c>
      <c r="H31" s="95">
        <f>IF(AND(OR($G$24="Injection",$G$24="Zero Flow"),H22-H29&gt;=0),H22-H29,IF(AND($G$24="Withdrawal",H22-H29&lt;0),H22-H29,0))</f>
        <v>0</v>
      </c>
      <c r="I31" s="95">
        <f>IF(AND(OR($G$24="Injection",$G$24="Zero Flow"),I22-I29&gt;=0),I22-I29,IF(AND($G$24="Withdrawal",I22-I29&lt;0),I22-I29,0))</f>
        <v>0</v>
      </c>
      <c r="J31" s="95">
        <f>IF(AND(OR($G$24="Injection",$G$24="Zero Flow"),J22-J29&gt;=0),J22-J29,IF(AND($G$24="Withdrawal",J22-J29&lt;0),J22-J29,0))</f>
        <v>323845</v>
      </c>
      <c r="K31" s="17"/>
    </row>
    <row r="32" spans="1:11">
      <c r="A32" s="97"/>
      <c r="B32" s="219"/>
      <c r="C32" s="16"/>
      <c r="D32" s="16"/>
      <c r="E32" s="16"/>
      <c r="F32" s="16"/>
      <c r="G32" s="16"/>
      <c r="H32" s="16"/>
      <c r="I32" s="16"/>
      <c r="J32" s="16"/>
      <c r="K32" s="17"/>
    </row>
    <row r="33" spans="1:11">
      <c r="A33" s="97"/>
      <c r="B33" s="218">
        <v>11</v>
      </c>
      <c r="C33" s="51" t="s">
        <v>52</v>
      </c>
      <c r="D33" s="51"/>
      <c r="E33" s="51"/>
      <c r="F33" s="51"/>
      <c r="G33" s="7">
        <f>SUM(H33:J33)</f>
        <v>323845</v>
      </c>
      <c r="H33" s="96">
        <f>IF(AND(OR($G$24="Injection",$G$24="Zero Flow"),H26="Primary",H31&gt;0),H31,IF(AND($G$24="Withdrawal",H27="Primary",H31&lt;0),H31,0))</f>
        <v>0</v>
      </c>
      <c r="I33" s="96">
        <f>IF(AND(OR($G$24="Injection",$G$24="Zero Flow"),I26="Primary",I31&gt;0),I31,IF(AND($G$24="Withdrawal",I27="Primary",I31&lt;0),I31,0))</f>
        <v>0</v>
      </c>
      <c r="J33" s="96">
        <f>IF(AND(OR($G$24="Injection",$G$24="Zero Flow"),J26="Primary",J31&gt;0),J31,IF(AND($G$24="Withdrawal",J27="Primary",J31&lt;0),J31,0))</f>
        <v>323845</v>
      </c>
      <c r="K33" s="17"/>
    </row>
    <row r="34" spans="1:11">
      <c r="A34" s="97"/>
      <c r="B34" s="219">
        <v>12</v>
      </c>
      <c r="C34" s="51" t="s">
        <v>53</v>
      </c>
      <c r="D34" s="51"/>
      <c r="E34" s="51"/>
      <c r="F34" s="51"/>
      <c r="G34" s="7">
        <f>SUM(H34:J34)</f>
        <v>0</v>
      </c>
      <c r="H34" s="96">
        <f>IF(AND(OR($G$24="Injection",$G$24="Zero Flow"),H26="Secondary",H31&gt;0),H31,IF(AND($G$24="Withdrawal",H27="Secondary",H31&lt;0),H31,0))</f>
        <v>0</v>
      </c>
      <c r="I34" s="96">
        <f>IF(AND(OR($G$24="Injection",$G$24="Zero Flow"),I26="Secondary",I31&gt;0),I31,IF(AND($G$24="Withdrawal",I27="Secondary",I31&lt;0),I31,0))</f>
        <v>0</v>
      </c>
      <c r="J34" s="96">
        <f>IF(AND(OR($G$24="Injection",$G$24="Zero Flow"),J26="Secondary",J31&gt;0),J31,IF(AND($G$24="Withdrawal",J27="Secondary",J31&lt;0),J31,0))</f>
        <v>0</v>
      </c>
      <c r="K34" s="17"/>
    </row>
    <row r="35" spans="1:11">
      <c r="A35" s="97"/>
      <c r="B35" s="219"/>
      <c r="C35" s="16"/>
      <c r="D35" s="16"/>
      <c r="E35" s="16"/>
      <c r="F35" s="16"/>
      <c r="G35" s="16"/>
      <c r="H35" s="16"/>
      <c r="I35" s="16"/>
      <c r="J35" s="16"/>
      <c r="K35" s="17"/>
    </row>
    <row r="36" spans="1:11">
      <c r="A36" s="97"/>
      <c r="B36" s="219">
        <v>13</v>
      </c>
      <c r="C36" s="16" t="s">
        <v>54</v>
      </c>
      <c r="D36" s="16"/>
      <c r="E36" s="16"/>
      <c r="F36" s="16"/>
      <c r="G36" s="98">
        <f>IF(G24="Injection",MAX(G17-G29-G30,0),IF(G24="Withdrawal",MIN(G18-G29-G30,0),0))</f>
        <v>1030155</v>
      </c>
      <c r="H36" s="16"/>
      <c r="I36" s="16"/>
      <c r="J36" s="16"/>
      <c r="K36" s="17"/>
    </row>
    <row r="37" spans="1:11">
      <c r="A37" s="97"/>
      <c r="B37" s="219">
        <v>14</v>
      </c>
      <c r="C37" s="16" t="s">
        <v>55</v>
      </c>
      <c r="D37" s="16"/>
      <c r="E37" s="16"/>
      <c r="F37" s="16"/>
      <c r="G37" s="5">
        <f>IF(G24="Injection",IF(G36&gt;G33,G33,G36),IF(G36&lt;G33,G33,G36))</f>
        <v>323845</v>
      </c>
      <c r="H37" s="65" t="str">
        <f>IF(G37=G33,"Fully Scheduled", IF(G37&lt;&gt;0,"Partly Scheduled","Not Scheduled"))</f>
        <v>Fully Scheduled</v>
      </c>
      <c r="I37" s="16"/>
      <c r="J37" s="16"/>
      <c r="K37" s="17"/>
    </row>
    <row r="38" spans="1:11">
      <c r="A38" s="97"/>
      <c r="B38" s="219">
        <v>15</v>
      </c>
      <c r="C38" s="16" t="s">
        <v>56</v>
      </c>
      <c r="D38" s="16"/>
      <c r="E38" s="16"/>
      <c r="F38" s="16"/>
      <c r="G38" s="5">
        <f>IF(G34=0,0,IF(G24="Injection",IF(G36-G37&gt;G34,G34,G36-G37),IF(G36-G37&lt;G34,G34,G36-G37)))</f>
        <v>0</v>
      </c>
      <c r="H38" s="65" t="str">
        <f>IF(G34=0,"Fully Scheduled",IF(G38=G34,"Fully Scheduled",IF(G38=0,"Not Scheduled",IF(G38&lt;&gt;G34,"Partly Scheduled","error"))))</f>
        <v>Fully Scheduled</v>
      </c>
      <c r="I38" s="16"/>
      <c r="J38" s="16"/>
      <c r="K38" s="17"/>
    </row>
    <row r="39" spans="1:11">
      <c r="A39" s="97"/>
      <c r="B39" s="219">
        <v>16</v>
      </c>
      <c r="C39" s="51" t="s">
        <v>97</v>
      </c>
      <c r="D39" s="16"/>
      <c r="E39" s="16"/>
      <c r="F39" s="16"/>
      <c r="G39" s="7">
        <f>SUM(H39:J39)</f>
        <v>854000</v>
      </c>
      <c r="H39" s="96">
        <f>IF($G$24="Injection",IF(H33&gt;0,H7,0),IF(H33&lt;0,H8,0))</f>
        <v>0</v>
      </c>
      <c r="I39" s="96">
        <f>IF($G$24="Injection",IF(I33&gt;0,I7,0),IF(I33&lt;0,I8,0))</f>
        <v>0</v>
      </c>
      <c r="J39" s="96">
        <f>IF($G$24="Injection",IF(J33&gt;0,J7,0),IF(J33&lt;0,J8,0))</f>
        <v>854000</v>
      </c>
      <c r="K39" s="17"/>
    </row>
    <row r="40" spans="1:11">
      <c r="A40" s="97"/>
      <c r="B40" s="219"/>
      <c r="C40" s="16"/>
      <c r="D40" s="16"/>
      <c r="E40" s="16"/>
      <c r="F40" s="16"/>
      <c r="G40" s="16"/>
      <c r="H40" s="16"/>
      <c r="I40" s="16"/>
      <c r="J40" s="16"/>
      <c r="K40" s="17"/>
    </row>
    <row r="41" spans="1:11">
      <c r="A41" s="97"/>
      <c r="B41" s="219"/>
      <c r="C41" s="50" t="s">
        <v>214</v>
      </c>
      <c r="D41" s="16"/>
      <c r="E41" s="16"/>
      <c r="F41" s="16"/>
      <c r="G41" s="16"/>
      <c r="H41" s="16"/>
      <c r="I41" s="16"/>
      <c r="J41" s="16"/>
      <c r="K41" s="17"/>
    </row>
    <row r="42" spans="1:11">
      <c r="A42" s="97"/>
      <c r="B42" s="219">
        <v>17</v>
      </c>
      <c r="C42" s="16" t="s">
        <v>183</v>
      </c>
      <c r="D42" s="16"/>
      <c r="E42" s="16"/>
      <c r="F42" s="16"/>
      <c r="G42" s="5">
        <f>SUM(H42:J42)</f>
        <v>1318101</v>
      </c>
      <c r="H42" s="95">
        <f t="shared" ref="H42:J43" si="1">H29</f>
        <v>-358054</v>
      </c>
      <c r="I42" s="95">
        <f t="shared" si="1"/>
        <v>1000000</v>
      </c>
      <c r="J42" s="95">
        <f t="shared" si="1"/>
        <v>676155</v>
      </c>
      <c r="K42" s="17"/>
    </row>
    <row r="43" spans="1:11">
      <c r="A43" s="97"/>
      <c r="B43" s="219">
        <v>18</v>
      </c>
      <c r="C43" s="16" t="s">
        <v>198</v>
      </c>
      <c r="D43" s="21"/>
      <c r="E43" s="21"/>
      <c r="F43" s="16"/>
      <c r="G43" s="5">
        <f>SUM(H43:J43)</f>
        <v>-141946</v>
      </c>
      <c r="H43" s="95">
        <f t="shared" si="1"/>
        <v>-141946</v>
      </c>
      <c r="I43" s="95">
        <f t="shared" si="1"/>
        <v>0</v>
      </c>
      <c r="J43" s="95">
        <f t="shared" si="1"/>
        <v>0</v>
      </c>
      <c r="K43" s="17"/>
    </row>
    <row r="44" spans="1:11">
      <c r="A44" s="97"/>
      <c r="B44" s="219">
        <v>19</v>
      </c>
      <c r="C44" s="51" t="s">
        <v>184</v>
      </c>
      <c r="D44" s="21"/>
      <c r="E44" s="21"/>
      <c r="F44" s="16"/>
      <c r="G44" s="5">
        <f>SUM(H44:J44)</f>
        <v>323845</v>
      </c>
      <c r="H44" s="95">
        <f>IF($H$37="Fully Scheduled",H33,IF($G$24="Injection",MIN(H39/$G39*$G36,H33),MAX(H39/$G39*$G36,H33)))</f>
        <v>0</v>
      </c>
      <c r="I44" s="95">
        <f>IF($H$37="Fully Scheduled",I33,IF($G$24="Injection",MIN(I39/$G39*$G36,I33),MAX(I39/$G39*$G36,I33)))</f>
        <v>0</v>
      </c>
      <c r="J44" s="95">
        <f>IF($H$37="Fully Scheduled",J33,IF($G$24="Injection",MIN(J39/$G39*$G36,J33),MAX(J39/$G39*$G36,J33)))</f>
        <v>323845</v>
      </c>
      <c r="K44" s="17"/>
    </row>
    <row r="45" spans="1:11">
      <c r="A45" s="97"/>
      <c r="B45" s="219">
        <v>20</v>
      </c>
      <c r="C45" s="51" t="s">
        <v>185</v>
      </c>
      <c r="D45" s="21"/>
      <c r="E45" s="21"/>
      <c r="F45" s="16"/>
      <c r="G45" s="5">
        <f>SUM(H45:J45)</f>
        <v>0</v>
      </c>
      <c r="H45" s="95">
        <f>IF($H$37="Partly Scheduled",IF(H44=H33,0,$G36-$G44),0)</f>
        <v>0</v>
      </c>
      <c r="I45" s="95">
        <f>IF($H$37="Partly Scheduled",IF(I44=I33,0,$G36-$G44),0)</f>
        <v>0</v>
      </c>
      <c r="J45" s="95">
        <f>IF($H$37="Partly Scheduled",IF(J44=J33,0,$G36-$G44),0)</f>
        <v>0</v>
      </c>
      <c r="K45" s="17"/>
    </row>
    <row r="46" spans="1:11">
      <c r="A46" s="97"/>
      <c r="B46" s="219">
        <v>21</v>
      </c>
      <c r="C46" s="51" t="s">
        <v>186</v>
      </c>
      <c r="D46" s="16"/>
      <c r="E46" s="16"/>
      <c r="F46" s="16"/>
      <c r="G46" s="5">
        <f>SUM(H46:J46)</f>
        <v>0</v>
      </c>
      <c r="H46" s="95">
        <f>IF($G38=0,0,IF($H$38="Fully Scheduled",H34,(($G36-$G37)/$G34)*H34))</f>
        <v>0</v>
      </c>
      <c r="I46" s="95">
        <f>IF($G38=0,0,IF($H$38="Fully Scheduled",I34,(($G36-$G37)/$G34)*I34))</f>
        <v>0</v>
      </c>
      <c r="J46" s="95">
        <f>IF($G38=0,0,IF($H$38="Fully Scheduled",J34,(($G36-$G37)/$G34)*J34))</f>
        <v>0</v>
      </c>
      <c r="K46" s="17"/>
    </row>
    <row r="47" spans="1:11">
      <c r="A47" s="97"/>
      <c r="B47" s="219"/>
      <c r="C47" s="16"/>
      <c r="D47" s="16"/>
      <c r="E47" s="16"/>
      <c r="F47" s="16"/>
      <c r="G47" s="16"/>
      <c r="H47" s="16"/>
      <c r="I47" s="16"/>
      <c r="J47" s="16"/>
      <c r="K47" s="17"/>
    </row>
    <row r="48" spans="1:11">
      <c r="A48" s="97"/>
      <c r="B48" s="219">
        <v>22</v>
      </c>
      <c r="C48" s="16" t="s">
        <v>187</v>
      </c>
      <c r="D48" s="16"/>
      <c r="E48" s="16"/>
      <c r="F48" s="16"/>
      <c r="G48" s="5">
        <f>SUM(H48:J48)</f>
        <v>1500000</v>
      </c>
      <c r="H48" s="95">
        <f>SUM(H42:H46)</f>
        <v>-500000</v>
      </c>
      <c r="I48" s="95">
        <f>SUM(I42:I46)</f>
        <v>1000000</v>
      </c>
      <c r="J48" s="95">
        <f>SUM(J42:J46)</f>
        <v>1000000</v>
      </c>
      <c r="K48" s="17"/>
    </row>
    <row r="49" spans="2:11">
      <c r="B49" s="15"/>
      <c r="C49" s="16"/>
      <c r="D49" s="16"/>
      <c r="E49" s="16"/>
      <c r="F49" s="16"/>
      <c r="G49" s="16"/>
      <c r="H49" s="16"/>
      <c r="I49" s="16"/>
      <c r="J49" s="16"/>
      <c r="K49" s="17"/>
    </row>
    <row r="50" spans="2:11">
      <c r="B50" s="15"/>
      <c r="C50" s="16" t="s">
        <v>216</v>
      </c>
      <c r="D50" s="16"/>
      <c r="E50" s="16"/>
      <c r="F50" s="16"/>
      <c r="G50" s="5">
        <f>SUM(H50:J50)</f>
        <v>3403000000</v>
      </c>
      <c r="H50" s="95">
        <f>H12+H48</f>
        <v>199000000</v>
      </c>
      <c r="I50" s="95">
        <f>I12+I48</f>
        <v>1502000000</v>
      </c>
      <c r="J50" s="95">
        <f>J12+J48</f>
        <v>1702000000</v>
      </c>
      <c r="K50" s="17"/>
    </row>
    <row r="51" spans="2:11" ht="13.5" thickBot="1">
      <c r="B51" s="18"/>
      <c r="C51" s="19"/>
      <c r="D51" s="19"/>
      <c r="E51" s="19"/>
      <c r="F51" s="19"/>
      <c r="G51" s="19"/>
      <c r="H51" s="19"/>
      <c r="I51" s="19"/>
      <c r="J51" s="19"/>
      <c r="K51" s="38"/>
    </row>
  </sheetData>
  <sheetProtection password="DBBB" sheet="1" objects="1" scenarios="1"/>
  <phoneticPr fontId="0" type="noConversion"/>
  <conditionalFormatting sqref="G25">
    <cfRule type="expression" dxfId="31" priority="1" stopIfTrue="1">
      <formula>$G$24="Zero Flow"</formula>
    </cfRule>
  </conditionalFormatting>
  <conditionalFormatting sqref="N11 C26:J48 H50:J50">
    <cfRule type="expression" dxfId="30" priority="2" stopIfTrue="1">
      <formula>$G$24="Zero Flow"</formula>
    </cfRule>
  </conditionalFormatting>
  <dataValidations count="1">
    <dataValidation type="whole" allowBlank="1" showErrorMessage="1" errorTitle="Negative Withdrawal Capacity" error="Withdrawal Capacity should be negative." sqref="H8:J8">
      <formula1>-1E+21</formula1>
      <formula2>0</formula2>
    </dataValidation>
  </dataValidations>
  <pageMargins left="0.17" right="0.16" top="0.42" bottom="0.53" header="0.5" footer="0.5"/>
  <pageSetup paperSize="8" scale="8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0"/>
    <pageSetUpPr fitToPage="1"/>
  </sheetPr>
  <dimension ref="B1:K68"/>
  <sheetViews>
    <sheetView defaultGridColor="0" colorId="55" zoomScaleNormal="100" workbookViewId="0"/>
  </sheetViews>
  <sheetFormatPr defaultRowHeight="12.75"/>
  <cols>
    <col min="1" max="1" width="100.28515625" style="1" customWidth="1"/>
    <col min="2" max="2" width="3" style="1" customWidth="1"/>
    <col min="3" max="6" width="12.5703125" style="1" customWidth="1"/>
    <col min="7" max="7" width="16.5703125" style="1" customWidth="1"/>
    <col min="8" max="10" width="16.7109375" style="1" customWidth="1"/>
    <col min="11" max="11" width="1.85546875" style="1" customWidth="1"/>
    <col min="12" max="16384" width="9.140625" style="1"/>
  </cols>
  <sheetData>
    <row r="1" spans="2:11" ht="122.25" customHeight="1"/>
    <row r="2" spans="2:11" ht="15">
      <c r="B2" s="47"/>
      <c r="C2" s="206"/>
    </row>
    <row r="3" spans="2:11">
      <c r="B3" s="48"/>
      <c r="C3" s="4"/>
    </row>
    <row r="4" spans="2:11" ht="51.75" customHeight="1" thickBot="1">
      <c r="B4" s="48"/>
    </row>
    <row r="5" spans="2:11" ht="13.5" thickBot="1">
      <c r="B5" s="120" t="s">
        <v>110</v>
      </c>
      <c r="C5" s="121"/>
      <c r="D5" s="121"/>
      <c r="E5" s="121"/>
      <c r="F5" s="122"/>
    </row>
    <row r="6" spans="2:11">
      <c r="B6" s="12"/>
      <c r="C6" s="13"/>
      <c r="D6" s="13"/>
      <c r="E6" s="13"/>
      <c r="F6" s="13"/>
      <c r="G6" s="27" t="s">
        <v>42</v>
      </c>
      <c r="H6" s="63" t="s">
        <v>37</v>
      </c>
      <c r="I6" s="63" t="s">
        <v>38</v>
      </c>
      <c r="J6" s="63" t="s">
        <v>39</v>
      </c>
      <c r="K6" s="73"/>
    </row>
    <row r="7" spans="2:11">
      <c r="B7" s="15"/>
      <c r="C7" s="32" t="s">
        <v>90</v>
      </c>
      <c r="D7" s="32"/>
      <c r="E7" s="32"/>
      <c r="F7" s="32"/>
      <c r="G7" s="68">
        <f>SUM(H7:J7)</f>
        <v>2562000</v>
      </c>
      <c r="H7" s="235">
        <v>427000</v>
      </c>
      <c r="I7" s="235">
        <v>1281000</v>
      </c>
      <c r="J7" s="235">
        <v>854000</v>
      </c>
      <c r="K7" s="74"/>
    </row>
    <row r="8" spans="2:11">
      <c r="B8" s="15"/>
      <c r="C8" s="32" t="s">
        <v>91</v>
      </c>
      <c r="D8" s="32"/>
      <c r="E8" s="32"/>
      <c r="F8" s="32"/>
      <c r="G8" s="68">
        <f>SUM(H8:J8)</f>
        <v>-3474000</v>
      </c>
      <c r="H8" s="235">
        <v>-579000</v>
      </c>
      <c r="I8" s="235">
        <v>-1737000</v>
      </c>
      <c r="J8" s="235">
        <v>-1158000</v>
      </c>
      <c r="K8" s="74"/>
    </row>
    <row r="9" spans="2:11">
      <c r="B9" s="15"/>
      <c r="C9" s="32" t="s">
        <v>92</v>
      </c>
      <c r="D9" s="32"/>
      <c r="E9" s="32"/>
      <c r="F9" s="32"/>
      <c r="G9" s="68">
        <f>SUM(H9:J9)</f>
        <v>6000000000</v>
      </c>
      <c r="H9" s="234">
        <v>1000000000</v>
      </c>
      <c r="I9" s="234">
        <v>3000000000</v>
      </c>
      <c r="J9" s="234">
        <v>2000000000</v>
      </c>
      <c r="K9" s="74"/>
    </row>
    <row r="10" spans="2:11">
      <c r="B10" s="15"/>
      <c r="C10" s="32"/>
      <c r="D10" s="32"/>
      <c r="E10" s="32"/>
      <c r="F10" s="32"/>
      <c r="G10" s="16"/>
      <c r="H10" s="16"/>
      <c r="I10" s="16"/>
      <c r="J10" s="16"/>
      <c r="K10" s="75"/>
    </row>
    <row r="11" spans="2:11">
      <c r="B11" s="15"/>
      <c r="C11" s="16" t="s">
        <v>203</v>
      </c>
      <c r="D11" s="32"/>
      <c r="E11" s="32"/>
      <c r="F11" s="32"/>
      <c r="G11" s="68">
        <f>SUM(H11:J11)</f>
        <v>6001181000</v>
      </c>
      <c r="H11" s="234">
        <v>1000427000</v>
      </c>
      <c r="I11" s="234">
        <f>3000000000-100000</f>
        <v>2999900000</v>
      </c>
      <c r="J11" s="234">
        <v>2000854000</v>
      </c>
      <c r="K11" s="74"/>
    </row>
    <row r="12" spans="2:11">
      <c r="B12" s="15"/>
      <c r="C12" s="16" t="s">
        <v>204</v>
      </c>
      <c r="D12" s="32"/>
      <c r="E12" s="32"/>
      <c r="F12" s="32"/>
      <c r="G12" s="68">
        <f>SUM(H12:J12)</f>
        <v>5999384000</v>
      </c>
      <c r="H12" s="234">
        <f>H11-50000</f>
        <v>1000377000</v>
      </c>
      <c r="I12" s="234">
        <f>I11+I8</f>
        <v>2998163000</v>
      </c>
      <c r="J12" s="234">
        <f>J11-10000</f>
        <v>2000844000</v>
      </c>
      <c r="K12" s="74"/>
    </row>
    <row r="13" spans="2:11">
      <c r="B13" s="15"/>
      <c r="C13" s="32"/>
      <c r="D13" s="32"/>
      <c r="E13" s="32"/>
      <c r="F13" s="32"/>
      <c r="G13" s="16"/>
      <c r="H13" s="16"/>
      <c r="I13" s="16"/>
      <c r="J13" s="16"/>
      <c r="K13" s="75"/>
    </row>
    <row r="14" spans="2:11">
      <c r="B14" s="15"/>
      <c r="C14" s="32" t="s">
        <v>40</v>
      </c>
      <c r="D14" s="32"/>
      <c r="E14" s="32"/>
      <c r="F14" s="32"/>
      <c r="G14" s="16"/>
      <c r="H14" s="94">
        <f>IF(H9=0,0.755,0.755+0.245*(H9-H11)/H9)</f>
        <v>0.75489538499999997</v>
      </c>
      <c r="I14" s="94">
        <f>IF(I9=0,0.755,0.755+0.245*(I9-I11)/I9)</f>
        <v>0.7550081666666667</v>
      </c>
      <c r="J14" s="94">
        <f>IF(J9=0,0.755,0.755+0.245*(J9-J11)/J9)</f>
        <v>0.75489538499999997</v>
      </c>
      <c r="K14" s="76"/>
    </row>
    <row r="15" spans="2:11">
      <c r="B15" s="15"/>
      <c r="C15" s="32" t="s">
        <v>46</v>
      </c>
      <c r="D15" s="32"/>
      <c r="E15" s="32"/>
      <c r="F15" s="32"/>
      <c r="G15" s="16"/>
      <c r="H15" s="94">
        <f>MIN(IF(H9=0,0.523,0.523+0.477*H11/H9),1)</f>
        <v>1</v>
      </c>
      <c r="I15" s="94">
        <f>MIN(IF(I9=0,0.523,0.523+0.477*I11/I9),1)</f>
        <v>0.99998410000000004</v>
      </c>
      <c r="J15" s="94">
        <f>MIN(IF(J9=0,0.523,0.523+0.477*J11/J9),1)</f>
        <v>1</v>
      </c>
      <c r="K15" s="76"/>
    </row>
    <row r="16" spans="2:11">
      <c r="B16" s="15"/>
      <c r="C16" s="32"/>
      <c r="D16" s="32"/>
      <c r="E16" s="32"/>
      <c r="F16" s="32"/>
      <c r="G16" s="16"/>
      <c r="H16" s="16"/>
      <c r="I16" s="16"/>
      <c r="J16" s="16"/>
      <c r="K16" s="75"/>
    </row>
    <row r="17" spans="2:11">
      <c r="B17" s="221">
        <v>1</v>
      </c>
      <c r="C17" s="32" t="s">
        <v>44</v>
      </c>
      <c r="D17" s="32"/>
      <c r="E17" s="64"/>
      <c r="F17" s="32"/>
      <c r="G17" s="68">
        <f>SUM(H17:J17)</f>
        <v>1934188</v>
      </c>
      <c r="H17" s="95">
        <f t="shared" ref="H17:J18" si="0">ROUNDUP(H14*H7,0)</f>
        <v>322341</v>
      </c>
      <c r="I17" s="95">
        <f t="shared" si="0"/>
        <v>967166</v>
      </c>
      <c r="J17" s="95">
        <f t="shared" si="0"/>
        <v>644681</v>
      </c>
      <c r="K17" s="77"/>
    </row>
    <row r="18" spans="2:11">
      <c r="B18" s="221">
        <v>2</v>
      </c>
      <c r="C18" s="32" t="s">
        <v>45</v>
      </c>
      <c r="D18" s="32"/>
      <c r="E18" s="32"/>
      <c r="F18" s="32"/>
      <c r="G18" s="68">
        <f>SUM(H18:J18)</f>
        <v>-3473973</v>
      </c>
      <c r="H18" s="95">
        <f t="shared" si="0"/>
        <v>-579000</v>
      </c>
      <c r="I18" s="95">
        <f t="shared" si="0"/>
        <v>-1736973</v>
      </c>
      <c r="J18" s="95">
        <f t="shared" si="0"/>
        <v>-1158000</v>
      </c>
      <c r="K18" s="77"/>
    </row>
    <row r="19" spans="2:11">
      <c r="B19" s="221"/>
      <c r="C19" s="32"/>
      <c r="D19" s="32"/>
      <c r="E19" s="32"/>
      <c r="F19" s="32"/>
      <c r="G19" s="16"/>
      <c r="H19" s="16"/>
      <c r="I19" s="16"/>
      <c r="J19" s="16"/>
      <c r="K19" s="78"/>
    </row>
    <row r="20" spans="2:11">
      <c r="B20" s="221"/>
      <c r="C20" s="65" t="s">
        <v>41</v>
      </c>
      <c r="D20" s="32"/>
      <c r="E20" s="32"/>
      <c r="F20" s="32"/>
      <c r="G20" s="16"/>
      <c r="H20" s="16"/>
      <c r="I20" s="16"/>
      <c r="J20" s="16"/>
      <c r="K20" s="78"/>
    </row>
    <row r="21" spans="2:11">
      <c r="B21" s="221">
        <v>3</v>
      </c>
      <c r="C21" s="32" t="s">
        <v>50</v>
      </c>
      <c r="D21" s="32"/>
      <c r="E21" s="32"/>
      <c r="F21" s="32"/>
      <c r="G21" s="68">
        <f>SUM(H21:J21)</f>
        <v>-1400000</v>
      </c>
      <c r="H21" s="235">
        <v>-800000</v>
      </c>
      <c r="I21" s="235">
        <v>400000</v>
      </c>
      <c r="J21" s="235">
        <v>-1000000</v>
      </c>
      <c r="K21" s="78"/>
    </row>
    <row r="22" spans="2:11">
      <c r="B22" s="221">
        <v>4</v>
      </c>
      <c r="C22" s="51" t="s">
        <v>156</v>
      </c>
      <c r="D22" s="32"/>
      <c r="E22" s="32"/>
      <c r="F22" s="32"/>
      <c r="G22" s="68">
        <f>SUM(H22:J22)</f>
        <v>-1400000</v>
      </c>
      <c r="H22" s="95">
        <f>IF(H12+H21&lt;0,-H12,H21)</f>
        <v>-800000</v>
      </c>
      <c r="I22" s="95">
        <f>IF(I12+I21&lt;0,-I12,I21)</f>
        <v>400000</v>
      </c>
      <c r="J22" s="95">
        <f>IF(J12+J21&lt;0,-J12,J21)</f>
        <v>-1000000</v>
      </c>
      <c r="K22" s="78"/>
    </row>
    <row r="23" spans="2:11">
      <c r="B23" s="221">
        <v>5</v>
      </c>
      <c r="C23" s="65" t="s">
        <v>58</v>
      </c>
      <c r="D23" s="65"/>
      <c r="E23" s="65"/>
      <c r="F23" s="32"/>
      <c r="G23" s="68">
        <f>SUM(H23:J23)</f>
        <v>-1400000</v>
      </c>
      <c r="H23" s="95">
        <f>IF(H12+H22&gt;H9,MIN(MAX(H9-H12,0),H22),H22)</f>
        <v>-800000</v>
      </c>
      <c r="I23" s="95">
        <f>IF(I12+I22&gt;I9,MIN(MAX(I9-I12,0),I22),I22)</f>
        <v>400000</v>
      </c>
      <c r="J23" s="95">
        <f>IF(J12+J22&gt;J9,MIN(MAX(J9-J12,0),J22),J22)</f>
        <v>-1000000</v>
      </c>
      <c r="K23" s="78"/>
    </row>
    <row r="24" spans="2:11">
      <c r="B24" s="221"/>
      <c r="C24" s="32"/>
      <c r="D24" s="32"/>
      <c r="E24" s="32"/>
      <c r="F24" s="32"/>
      <c r="G24" s="16"/>
      <c r="H24" s="16"/>
      <c r="I24" s="16"/>
      <c r="J24" s="16"/>
      <c r="K24" s="75"/>
    </row>
    <row r="25" spans="2:11">
      <c r="B25" s="221">
        <v>6</v>
      </c>
      <c r="C25" s="32" t="s">
        <v>86</v>
      </c>
      <c r="D25" s="32"/>
      <c r="E25" s="32"/>
      <c r="F25" s="32"/>
      <c r="G25" s="68">
        <f>SUM(H25:J25)</f>
        <v>-1179000</v>
      </c>
      <c r="H25" s="95">
        <f>IF(H23&gt;0,MIN(H23,H17),IF(H23&lt;0,MAX(H23,H18),0))</f>
        <v>-579000</v>
      </c>
      <c r="I25" s="95">
        <f>IF(I23&gt;0,MIN(I23,I17),IF(I23&lt;0,MAX(I23,I18),0))</f>
        <v>400000</v>
      </c>
      <c r="J25" s="95">
        <f>IF(J23&gt;0,MIN(J23,J17),IF(J23&lt;0,MAX(J23,J18),0))</f>
        <v>-1000000</v>
      </c>
      <c r="K25" s="78"/>
    </row>
    <row r="26" spans="2:11">
      <c r="B26" s="221">
        <v>7</v>
      </c>
      <c r="C26" s="32" t="s">
        <v>84</v>
      </c>
      <c r="D26" s="32"/>
      <c r="E26" s="32"/>
      <c r="F26" s="32"/>
      <c r="G26" s="68">
        <f>SUM(H26:J26)</f>
        <v>-221000</v>
      </c>
      <c r="H26" s="95">
        <f>IF(H23-H25&lt;0,H23-H25,0)</f>
        <v>-221000</v>
      </c>
      <c r="I26" s="95">
        <f>IF(I23-I25&lt;0,I23-I25,0)</f>
        <v>0</v>
      </c>
      <c r="J26" s="95">
        <f>IF(J23-J25&lt;0,J23-J25,0)</f>
        <v>0</v>
      </c>
      <c r="K26" s="75"/>
    </row>
    <row r="27" spans="2:11">
      <c r="B27" s="221">
        <v>8</v>
      </c>
      <c r="C27" s="32" t="s">
        <v>85</v>
      </c>
      <c r="D27" s="32"/>
      <c r="E27" s="32"/>
      <c r="F27" s="32"/>
      <c r="G27" s="68">
        <f>SUM(H27:J27)</f>
        <v>0</v>
      </c>
      <c r="H27" s="95">
        <f>IF(H23-H25&gt;0,H23-H25,0)</f>
        <v>0</v>
      </c>
      <c r="I27" s="95">
        <f>IF(I23-I25&gt;0,I23-I25,0)</f>
        <v>0</v>
      </c>
      <c r="J27" s="95">
        <f>IF(J23-J25&gt;0,J23-J25,0)</f>
        <v>0</v>
      </c>
      <c r="K27" s="75"/>
    </row>
    <row r="28" spans="2:11">
      <c r="B28" s="221"/>
      <c r="C28" s="32"/>
      <c r="D28" s="32"/>
      <c r="E28" s="32"/>
      <c r="F28" s="32"/>
      <c r="G28" s="16"/>
      <c r="H28" s="16"/>
      <c r="I28" s="16"/>
      <c r="J28" s="16"/>
      <c r="K28" s="75"/>
    </row>
    <row r="29" spans="2:11">
      <c r="B29" s="221">
        <v>9</v>
      </c>
      <c r="C29" s="66" t="s">
        <v>71</v>
      </c>
      <c r="D29" s="32"/>
      <c r="E29" s="32"/>
      <c r="F29" s="32"/>
      <c r="G29" s="67" t="str">
        <f>IF(G25+G26&gt;0,"Injection",IF(G25+G26&lt;0,"Withdrawal","Zero Flow"))</f>
        <v>Withdrawal</v>
      </c>
      <c r="H29" s="83" t="s">
        <v>63</v>
      </c>
      <c r="I29" s="16"/>
      <c r="J29" s="16"/>
      <c r="K29" s="75"/>
    </row>
    <row r="30" spans="2:11">
      <c r="B30" s="221">
        <v>10</v>
      </c>
      <c r="C30" s="66" t="s">
        <v>70</v>
      </c>
      <c r="D30" s="32"/>
      <c r="E30" s="32"/>
      <c r="F30" s="32"/>
      <c r="G30" s="67" t="str">
        <f>IF(G25+G26+G27&gt;0,"Injection",IF(G25+G26+G27&lt;0,"Withdrawal","Zero Flow"))</f>
        <v>Withdrawal</v>
      </c>
      <c r="H30" s="83" t="s">
        <v>64</v>
      </c>
      <c r="I30" s="16"/>
      <c r="J30" s="16"/>
      <c r="K30" s="78"/>
    </row>
    <row r="31" spans="2:11">
      <c r="B31" s="221"/>
      <c r="C31" s="32"/>
      <c r="D31" s="32"/>
      <c r="E31" s="32"/>
      <c r="F31" s="32"/>
      <c r="G31" s="84" t="s">
        <v>73</v>
      </c>
      <c r="H31" s="85"/>
      <c r="I31" s="85"/>
      <c r="J31" s="85"/>
      <c r="K31" s="86"/>
    </row>
    <row r="32" spans="2:11">
      <c r="B32" s="221">
        <v>11</v>
      </c>
      <c r="C32" s="32" t="s">
        <v>48</v>
      </c>
      <c r="D32" s="32"/>
      <c r="E32" s="32"/>
      <c r="F32" s="32"/>
      <c r="G32" s="16"/>
      <c r="H32" s="223" t="str">
        <f>IF(H8&lt;0,"Primary","Secondary")</f>
        <v>Primary</v>
      </c>
      <c r="I32" s="223" t="str">
        <f>IF(I8&lt;0,"Primary","Secondary")</f>
        <v>Primary</v>
      </c>
      <c r="J32" s="223" t="str">
        <f>IF(J8&lt;0,"Primary","Secondary")</f>
        <v>Primary</v>
      </c>
      <c r="K32" s="75"/>
    </row>
    <row r="33" spans="2:11">
      <c r="B33" s="221"/>
      <c r="C33" s="32"/>
      <c r="D33" s="32"/>
      <c r="E33" s="32"/>
      <c r="F33" s="32"/>
      <c r="G33" s="56" t="s">
        <v>69</v>
      </c>
      <c r="H33" s="85"/>
      <c r="I33" s="85"/>
      <c r="J33" s="16"/>
      <c r="K33" s="75"/>
    </row>
    <row r="34" spans="2:11">
      <c r="B34" s="221">
        <v>12</v>
      </c>
      <c r="C34" s="66" t="s">
        <v>65</v>
      </c>
      <c r="D34" s="66"/>
      <c r="E34" s="66"/>
      <c r="F34" s="66"/>
      <c r="G34" s="69">
        <f>SUM(H34:J34)</f>
        <v>-221000</v>
      </c>
      <c r="H34" s="96">
        <f>IF(AND(H32="Primary",H26&lt;0),H26,0)</f>
        <v>-221000</v>
      </c>
      <c r="I34" s="96">
        <f>IF(AND(I32="Primary",I26&lt;0),I26,0)</f>
        <v>0</v>
      </c>
      <c r="J34" s="96">
        <f>IF(AND(J32="Primary",J26&lt;0),J26,0)</f>
        <v>0</v>
      </c>
      <c r="K34" s="78"/>
    </row>
    <row r="35" spans="2:11">
      <c r="B35" s="221">
        <v>13</v>
      </c>
      <c r="C35" s="66" t="s">
        <v>66</v>
      </c>
      <c r="D35" s="66"/>
      <c r="E35" s="66"/>
      <c r="F35" s="66"/>
      <c r="G35" s="69">
        <f>SUM(H35:J35)</f>
        <v>0</v>
      </c>
      <c r="H35" s="96">
        <f>IF(AND(H32="Secondary",H26&lt;0),H26,0)</f>
        <v>0</v>
      </c>
      <c r="I35" s="96">
        <f>IF(AND(I32="Secondary",I26&lt;0),I26,0)</f>
        <v>0</v>
      </c>
      <c r="J35" s="96">
        <f>IF(AND(J32="Secondary",J26&lt;0),J26,0)</f>
        <v>0</v>
      </c>
      <c r="K35" s="78"/>
    </row>
    <row r="36" spans="2:11">
      <c r="B36" s="221"/>
      <c r="C36" s="32"/>
      <c r="D36" s="32"/>
      <c r="E36" s="32"/>
      <c r="F36" s="32"/>
      <c r="G36" s="16"/>
      <c r="H36" s="16"/>
      <c r="I36" s="16"/>
      <c r="J36" s="16"/>
      <c r="K36" s="78"/>
    </row>
    <row r="37" spans="2:11">
      <c r="B37" s="221">
        <v>14</v>
      </c>
      <c r="C37" s="32" t="s">
        <v>80</v>
      </c>
      <c r="D37" s="32"/>
      <c r="E37" s="32"/>
      <c r="F37" s="32"/>
      <c r="G37" s="70">
        <f>G18-G25-G27</f>
        <v>-2294973</v>
      </c>
      <c r="H37" s="16"/>
      <c r="I37" s="16"/>
      <c r="J37" s="16"/>
      <c r="K37" s="78"/>
    </row>
    <row r="38" spans="2:11">
      <c r="B38" s="221">
        <v>15</v>
      </c>
      <c r="C38" s="32" t="s">
        <v>67</v>
      </c>
      <c r="D38" s="32"/>
      <c r="E38" s="32"/>
      <c r="F38" s="32"/>
      <c r="G38" s="68">
        <f>IF(G34=0,0,IF(G37&lt;G34,G34,G37))</f>
        <v>-221000</v>
      </c>
      <c r="H38" s="65" t="str">
        <f>IF(G38=G34,"Fully Awarded", IF(G38&lt;&gt;0,"Partly Awarded","Not Awarded"))</f>
        <v>Fully Awarded</v>
      </c>
      <c r="I38" s="16"/>
      <c r="J38" s="16"/>
      <c r="K38" s="78"/>
    </row>
    <row r="39" spans="2:11">
      <c r="B39" s="221">
        <v>16</v>
      </c>
      <c r="C39" s="32" t="s">
        <v>68</v>
      </c>
      <c r="D39" s="32"/>
      <c r="E39" s="32"/>
      <c r="F39" s="32"/>
      <c r="G39" s="68">
        <f>IF(G35=0,0,IF(G37-G38&lt;G35,G35,G37-G38))</f>
        <v>0</v>
      </c>
      <c r="H39" s="65" t="str">
        <f>IF(G39=G35,"Fully Awarded", IF(G39&lt;&gt;0,"Partly Awarded","Not Awarded"))</f>
        <v>Fully Awarded</v>
      </c>
      <c r="I39" s="16"/>
      <c r="J39" s="16"/>
      <c r="K39" s="78"/>
    </row>
    <row r="40" spans="2:11">
      <c r="B40" s="221">
        <v>17</v>
      </c>
      <c r="C40" s="66" t="s">
        <v>79</v>
      </c>
      <c r="D40" s="32"/>
      <c r="E40" s="32"/>
      <c r="F40" s="32"/>
      <c r="G40" s="69">
        <f>SUM(H40:J40)</f>
        <v>-579000</v>
      </c>
      <c r="H40" s="96">
        <f>IF(H34&lt;0,H8,0)</f>
        <v>-579000</v>
      </c>
      <c r="I40" s="96">
        <f>IF(I34&lt;0,I8,0)</f>
        <v>0</v>
      </c>
      <c r="J40" s="96">
        <f>IF(J34&lt;0,J8,0)</f>
        <v>0</v>
      </c>
      <c r="K40" s="78"/>
    </row>
    <row r="41" spans="2:11">
      <c r="B41" s="221"/>
      <c r="C41" s="32"/>
      <c r="D41" s="32"/>
      <c r="E41" s="32"/>
      <c r="F41" s="32"/>
      <c r="G41" s="16"/>
      <c r="H41" s="16"/>
      <c r="I41" s="16"/>
      <c r="J41" s="16"/>
      <c r="K41" s="78"/>
    </row>
    <row r="42" spans="2:11">
      <c r="B42" s="221"/>
      <c r="C42" s="65" t="s">
        <v>214</v>
      </c>
      <c r="D42" s="65"/>
      <c r="E42" s="32"/>
      <c r="F42" s="32"/>
      <c r="G42" s="16"/>
      <c r="H42" s="16"/>
      <c r="I42" s="16"/>
      <c r="J42" s="16"/>
      <c r="K42" s="78"/>
    </row>
    <row r="43" spans="2:11">
      <c r="B43" s="221">
        <v>18</v>
      </c>
      <c r="C43" s="32" t="s">
        <v>183</v>
      </c>
      <c r="D43" s="32"/>
      <c r="E43" s="32"/>
      <c r="F43" s="32"/>
      <c r="G43" s="68">
        <f>SUM(H43:J43)</f>
        <v>-1179000</v>
      </c>
      <c r="H43" s="95">
        <f>H25</f>
        <v>-579000</v>
      </c>
      <c r="I43" s="95">
        <f>I25</f>
        <v>400000</v>
      </c>
      <c r="J43" s="95">
        <f>J25</f>
        <v>-1000000</v>
      </c>
      <c r="K43" s="78"/>
    </row>
    <row r="44" spans="2:11">
      <c r="B44" s="221">
        <v>19</v>
      </c>
      <c r="C44" s="66" t="s">
        <v>188</v>
      </c>
      <c r="D44" s="32"/>
      <c r="E44" s="32"/>
      <c r="F44" s="32"/>
      <c r="G44" s="68">
        <f>SUM(H44:J44)</f>
        <v>0</v>
      </c>
      <c r="H44" s="95">
        <f>H27</f>
        <v>0</v>
      </c>
      <c r="I44" s="95">
        <f>I27</f>
        <v>0</v>
      </c>
      <c r="J44" s="95">
        <f>J27</f>
        <v>0</v>
      </c>
      <c r="K44" s="78"/>
    </row>
    <row r="45" spans="2:11">
      <c r="B45" s="221">
        <v>20</v>
      </c>
      <c r="C45" s="66" t="s">
        <v>189</v>
      </c>
      <c r="D45" s="32"/>
      <c r="E45" s="32"/>
      <c r="F45" s="32"/>
      <c r="G45" s="68">
        <f>SUM(H45:J45)</f>
        <v>-221000</v>
      </c>
      <c r="H45" s="95">
        <f>IF($H$38="Fully Awarded",H34,MAX(H40/$G40*$G37,H34))</f>
        <v>-221000</v>
      </c>
      <c r="I45" s="95">
        <f>IF($H$38="Fully Awarded",I34,MAX(I40/$G40*$G37,I34))</f>
        <v>0</v>
      </c>
      <c r="J45" s="95">
        <f>IF($H$38="Fully Awarded",J34,MAX(J40/$G40*$G37,J34))</f>
        <v>0</v>
      </c>
      <c r="K45" s="78"/>
    </row>
    <row r="46" spans="2:11">
      <c r="B46" s="221">
        <v>21</v>
      </c>
      <c r="C46" s="66" t="s">
        <v>190</v>
      </c>
      <c r="D46" s="32"/>
      <c r="E46" s="32"/>
      <c r="F46" s="32"/>
      <c r="G46" s="68">
        <f>SUM(H46:J46)</f>
        <v>0</v>
      </c>
      <c r="H46" s="95">
        <f>IF($H$38="Partly Awarded",IF(H45=H34,0,$G37-$G45),0)</f>
        <v>0</v>
      </c>
      <c r="I46" s="95">
        <f>IF($H$38="Partly Awarded",IF(I45=I34,0,$G37-$G45),0)</f>
        <v>0</v>
      </c>
      <c r="J46" s="95">
        <f>IF($H$38="Partly Awarded",IF(J45=J34,0,$G37-$G45),0)</f>
        <v>0</v>
      </c>
      <c r="K46" s="78"/>
    </row>
    <row r="47" spans="2:11">
      <c r="B47" s="221">
        <v>22</v>
      </c>
      <c r="C47" s="66" t="s">
        <v>191</v>
      </c>
      <c r="D47" s="32"/>
      <c r="E47" s="32"/>
      <c r="F47" s="32"/>
      <c r="G47" s="68">
        <f>SUM(H47:J47)</f>
        <v>0</v>
      </c>
      <c r="H47" s="95">
        <f>IF($H$39="Fully Awarded",H35,(($G37-$G38)/$G35)*H35)</f>
        <v>0</v>
      </c>
      <c r="I47" s="95">
        <f>IF($H$39="Fully Awarded",I35,(($G37-$G38)/$G35)*I35)</f>
        <v>0</v>
      </c>
      <c r="J47" s="95">
        <f>IF($H$39="Fully Awarded",J35,(($G37-$G38)/$G35)*J35)</f>
        <v>0</v>
      </c>
      <c r="K47" s="78"/>
    </row>
    <row r="48" spans="2:11">
      <c r="B48" s="221"/>
      <c r="C48" s="32"/>
      <c r="D48" s="32"/>
      <c r="E48" s="32"/>
      <c r="F48" s="32"/>
      <c r="G48" s="16"/>
      <c r="H48" s="16"/>
      <c r="I48" s="16"/>
      <c r="J48" s="16"/>
      <c r="K48" s="78"/>
    </row>
    <row r="49" spans="2:11">
      <c r="B49" s="221">
        <v>23</v>
      </c>
      <c r="C49" s="32" t="s">
        <v>187</v>
      </c>
      <c r="D49" s="32"/>
      <c r="E49" s="32"/>
      <c r="F49" s="32"/>
      <c r="G49" s="68">
        <f>SUM(H49:J49)</f>
        <v>-1400000</v>
      </c>
      <c r="H49" s="95">
        <f>SUM(H43:H47)</f>
        <v>-800000</v>
      </c>
      <c r="I49" s="95">
        <f>SUM(I43:I47)</f>
        <v>400000</v>
      </c>
      <c r="J49" s="95">
        <f>SUM(J43:J47)</f>
        <v>-1000000</v>
      </c>
      <c r="K49" s="78"/>
    </row>
    <row r="50" spans="2:11">
      <c r="B50" s="221"/>
      <c r="C50" s="32"/>
      <c r="D50" s="32"/>
      <c r="E50" s="32"/>
      <c r="F50" s="32"/>
      <c r="G50" s="16"/>
      <c r="H50" s="16"/>
      <c r="I50" s="16"/>
      <c r="J50" s="16"/>
      <c r="K50" s="78"/>
    </row>
    <row r="51" spans="2:11">
      <c r="B51" s="221"/>
      <c r="C51" s="32" t="s">
        <v>216</v>
      </c>
      <c r="D51" s="32"/>
      <c r="E51" s="32"/>
      <c r="F51" s="32"/>
      <c r="G51" s="68">
        <f>SUM(H51:J51)</f>
        <v>5997984000</v>
      </c>
      <c r="H51" s="95">
        <f>H12+H49</f>
        <v>999577000</v>
      </c>
      <c r="I51" s="95">
        <f>I12+I49</f>
        <v>2998563000</v>
      </c>
      <c r="J51" s="95">
        <f>J12+J49</f>
        <v>1999844000</v>
      </c>
      <c r="K51" s="78"/>
    </row>
    <row r="52" spans="2:11" ht="13.5" thickBot="1">
      <c r="B52" s="123"/>
      <c r="C52" s="19"/>
      <c r="D52" s="19"/>
      <c r="E52" s="19"/>
      <c r="F52" s="19"/>
      <c r="G52" s="19"/>
      <c r="H52" s="19"/>
      <c r="I52" s="19"/>
      <c r="J52" s="19"/>
      <c r="K52" s="79"/>
    </row>
    <row r="57" spans="2:11">
      <c r="B57" s="8"/>
    </row>
    <row r="58" spans="2:11">
      <c r="B58" s="8"/>
    </row>
    <row r="59" spans="2:11">
      <c r="B59" s="8"/>
    </row>
    <row r="60" spans="2:11">
      <c r="B60" s="8"/>
    </row>
    <row r="61" spans="2:11">
      <c r="B61" s="8"/>
    </row>
    <row r="62" spans="2:11">
      <c r="B62" s="8"/>
    </row>
    <row r="63" spans="2:11">
      <c r="B63" s="8"/>
    </row>
    <row r="64" spans="2:11">
      <c r="B64" s="8"/>
    </row>
    <row r="65" spans="2:2">
      <c r="B65" s="8"/>
    </row>
    <row r="66" spans="2:2">
      <c r="B66" s="8"/>
    </row>
    <row r="67" spans="2:2">
      <c r="B67" s="8"/>
    </row>
    <row r="68" spans="2:2">
      <c r="B68" s="8"/>
    </row>
  </sheetData>
  <sheetProtection password="DBBB" sheet="1" objects="1" scenarios="1"/>
  <phoneticPr fontId="0" type="noConversion"/>
  <conditionalFormatting sqref="H29">
    <cfRule type="expression" dxfId="29" priority="1" stopIfTrue="1">
      <formula>$G$29="Injection"</formula>
    </cfRule>
  </conditionalFormatting>
  <conditionalFormatting sqref="K32:K51">
    <cfRule type="expression" dxfId="28" priority="2" stopIfTrue="1">
      <formula>OR($G$29="Injection",$G$30="Injection",$G$29="Zero Flow")</formula>
    </cfRule>
  </conditionalFormatting>
  <conditionalFormatting sqref="C31:F31 K31">
    <cfRule type="expression" dxfId="27" priority="3" stopIfTrue="1">
      <formula>OR($G$29="Injection",$G$30="Injection")</formula>
    </cfRule>
  </conditionalFormatting>
  <conditionalFormatting sqref="C30:G30 I30:K30">
    <cfRule type="expression" dxfId="26" priority="4" stopIfTrue="1">
      <formula>$G$29="Injection"</formula>
    </cfRule>
  </conditionalFormatting>
  <conditionalFormatting sqref="H30">
    <cfRule type="expression" dxfId="25" priority="5" stopIfTrue="1">
      <formula>AND($G$29="Withdrawal",$G$30="Injection")</formula>
    </cfRule>
  </conditionalFormatting>
  <conditionalFormatting sqref="G31">
    <cfRule type="expression" dxfId="24" priority="6" stopIfTrue="1">
      <formula>$G$30="Zero Flow"</formula>
    </cfRule>
  </conditionalFormatting>
  <conditionalFormatting sqref="C32:J51">
    <cfRule type="expression" dxfId="23" priority="7" stopIfTrue="1">
      <formula>OR($G$29="Injection",$G$30="Injection",$G$30="Zero Flow")</formula>
    </cfRule>
  </conditionalFormatting>
  <dataValidations count="1">
    <dataValidation type="whole" allowBlank="1" showErrorMessage="1" errorTitle="Negative Withdrawal Capacity" error="Withdrawal Capacity should be negative." sqref="H8:J8">
      <formula1>-1E+21</formula1>
      <formula2>0</formula2>
    </dataValidation>
  </dataValidations>
  <pageMargins left="0.17" right="0.16" top="0.42" bottom="0.53" header="0.5" footer="0.5"/>
  <pageSetup paperSize="8" scale="7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0"/>
    <pageSetUpPr fitToPage="1"/>
  </sheetPr>
  <dimension ref="B1:K68"/>
  <sheetViews>
    <sheetView defaultGridColor="0" colorId="55" zoomScaleNormal="100" workbookViewId="0"/>
  </sheetViews>
  <sheetFormatPr defaultRowHeight="12.75"/>
  <cols>
    <col min="1" max="1" width="100.28515625" style="1" customWidth="1"/>
    <col min="2" max="2" width="3" style="1" customWidth="1"/>
    <col min="3" max="6" width="12.5703125" style="1" customWidth="1"/>
    <col min="7" max="10" width="16.7109375" style="1" customWidth="1"/>
    <col min="11" max="11" width="1.5703125" style="1" customWidth="1"/>
    <col min="12" max="16384" width="9.140625" style="1"/>
  </cols>
  <sheetData>
    <row r="1" spans="2:11" ht="122.25" customHeight="1"/>
    <row r="2" spans="2:11" ht="15">
      <c r="B2" s="47"/>
      <c r="C2" s="206"/>
    </row>
    <row r="3" spans="2:11">
      <c r="B3" s="48"/>
      <c r="C3" s="207"/>
    </row>
    <row r="4" spans="2:11" ht="51.75" customHeight="1" thickBot="1">
      <c r="B4" s="48"/>
    </row>
    <row r="5" spans="2:11" ht="13.5" thickBot="1">
      <c r="B5" s="120" t="s">
        <v>82</v>
      </c>
      <c r="C5" s="121"/>
      <c r="D5" s="121"/>
      <c r="E5" s="121"/>
      <c r="F5" s="122"/>
    </row>
    <row r="6" spans="2:11">
      <c r="B6" s="15"/>
      <c r="C6" s="16"/>
      <c r="D6" s="16"/>
      <c r="E6" s="16"/>
      <c r="F6" s="16"/>
      <c r="G6" s="29" t="s">
        <v>42</v>
      </c>
      <c r="H6" s="54" t="s">
        <v>37</v>
      </c>
      <c r="I6" s="54" t="s">
        <v>38</v>
      </c>
      <c r="J6" s="54" t="s">
        <v>39</v>
      </c>
      <c r="K6" s="57"/>
    </row>
    <row r="7" spans="2:11">
      <c r="B7" s="15"/>
      <c r="C7" s="32" t="s">
        <v>90</v>
      </c>
      <c r="D7" s="32"/>
      <c r="E7" s="32"/>
      <c r="F7" s="32"/>
      <c r="G7" s="68">
        <f>SUM(H7:J7)</f>
        <v>2562000</v>
      </c>
      <c r="H7" s="235">
        <v>427000</v>
      </c>
      <c r="I7" s="235">
        <v>1281000</v>
      </c>
      <c r="J7" s="235">
        <v>854000</v>
      </c>
      <c r="K7" s="58"/>
    </row>
    <row r="8" spans="2:11">
      <c r="B8" s="15"/>
      <c r="C8" s="32" t="s">
        <v>91</v>
      </c>
      <c r="D8" s="32"/>
      <c r="E8" s="32"/>
      <c r="F8" s="32"/>
      <c r="G8" s="68">
        <f>SUM(H8:J8)</f>
        <v>-3474000</v>
      </c>
      <c r="H8" s="235">
        <v>-579000</v>
      </c>
      <c r="I8" s="235">
        <v>-1737000</v>
      </c>
      <c r="J8" s="235">
        <v>-1158000</v>
      </c>
      <c r="K8" s="58"/>
    </row>
    <row r="9" spans="2:11">
      <c r="B9" s="15"/>
      <c r="C9" s="32" t="s">
        <v>92</v>
      </c>
      <c r="D9" s="32"/>
      <c r="E9" s="32"/>
      <c r="F9" s="32"/>
      <c r="G9" s="68">
        <f>SUM(H9:J9)</f>
        <v>6000000000</v>
      </c>
      <c r="H9" s="234">
        <v>1000000000</v>
      </c>
      <c r="I9" s="234">
        <v>3000000000</v>
      </c>
      <c r="J9" s="234">
        <v>2000000000</v>
      </c>
      <c r="K9" s="58"/>
    </row>
    <row r="10" spans="2:11">
      <c r="B10" s="15"/>
      <c r="C10" s="32"/>
      <c r="D10" s="32"/>
      <c r="E10" s="32"/>
      <c r="F10" s="32"/>
      <c r="G10" s="16"/>
      <c r="H10" s="16"/>
      <c r="I10" s="16"/>
      <c r="J10" s="16"/>
      <c r="K10" s="59"/>
    </row>
    <row r="11" spans="2:11">
      <c r="B11" s="15"/>
      <c r="C11" s="16" t="s">
        <v>203</v>
      </c>
      <c r="D11" s="32"/>
      <c r="E11" s="32"/>
      <c r="F11" s="32"/>
      <c r="G11" s="68">
        <f>SUM(H11:J11)</f>
        <v>6001181000</v>
      </c>
      <c r="H11" s="234">
        <v>1000427000</v>
      </c>
      <c r="I11" s="234">
        <v>2999900000</v>
      </c>
      <c r="J11" s="234">
        <v>2000854000</v>
      </c>
      <c r="K11" s="58"/>
    </row>
    <row r="12" spans="2:11">
      <c r="B12" s="15"/>
      <c r="C12" s="16" t="s">
        <v>204</v>
      </c>
      <c r="D12" s="32"/>
      <c r="E12" s="32"/>
      <c r="F12" s="32"/>
      <c r="G12" s="68">
        <f>SUM(H12:J12)</f>
        <v>5999384000</v>
      </c>
      <c r="H12" s="234">
        <v>1000377000</v>
      </c>
      <c r="I12" s="234">
        <v>2998163000</v>
      </c>
      <c r="J12" s="234">
        <v>2000844000</v>
      </c>
      <c r="K12" s="58"/>
    </row>
    <row r="13" spans="2:11">
      <c r="B13" s="15"/>
      <c r="C13" s="32"/>
      <c r="D13" s="32"/>
      <c r="E13" s="32"/>
      <c r="F13" s="32"/>
      <c r="G13" s="16"/>
      <c r="H13" s="16"/>
      <c r="I13" s="16"/>
      <c r="J13" s="16"/>
      <c r="K13" s="59"/>
    </row>
    <row r="14" spans="2:11">
      <c r="B14" s="15"/>
      <c r="C14" s="32" t="s">
        <v>40</v>
      </c>
      <c r="D14" s="32"/>
      <c r="E14" s="32"/>
      <c r="F14" s="32"/>
      <c r="G14" s="16"/>
      <c r="H14" s="94">
        <f>IF(H9=0,0.755,0.755+0.245*(H9-H11)/H9)</f>
        <v>0.75489538499999997</v>
      </c>
      <c r="I14" s="94">
        <f>IF(I9=0,0.755,0.755+0.245*(I9-I11)/I9)</f>
        <v>0.7550081666666667</v>
      </c>
      <c r="J14" s="94">
        <f>IF(J9=0,0.755,0.755+0.245*(J9-J11)/J9)</f>
        <v>0.75489538499999997</v>
      </c>
      <c r="K14" s="60"/>
    </row>
    <row r="15" spans="2:11">
      <c r="B15" s="15"/>
      <c r="C15" s="32" t="s">
        <v>46</v>
      </c>
      <c r="D15" s="32"/>
      <c r="E15" s="32"/>
      <c r="F15" s="32"/>
      <c r="G15" s="16"/>
      <c r="H15" s="94">
        <f>MIN(IF(H9=0,0.523,0.523+0.477*H11/H9),1)</f>
        <v>1</v>
      </c>
      <c r="I15" s="94">
        <f>MIN(IF(I9=0,0.523,0.523+0.477*I11/I9),1)</f>
        <v>0.99998410000000004</v>
      </c>
      <c r="J15" s="94">
        <f>MIN(IF(J9=0,0.523,0.523+0.477*J11/J9),1)</f>
        <v>1</v>
      </c>
      <c r="K15" s="60"/>
    </row>
    <row r="16" spans="2:11">
      <c r="B16" s="15"/>
      <c r="C16" s="32"/>
      <c r="D16" s="32"/>
      <c r="E16" s="32"/>
      <c r="F16" s="32"/>
      <c r="G16" s="16"/>
      <c r="H16" s="16"/>
      <c r="I16" s="16"/>
      <c r="J16" s="16"/>
      <c r="K16" s="59"/>
    </row>
    <row r="17" spans="2:11">
      <c r="B17" s="221">
        <v>1</v>
      </c>
      <c r="C17" s="32" t="s">
        <v>44</v>
      </c>
      <c r="D17" s="32"/>
      <c r="E17" s="64"/>
      <c r="F17" s="32"/>
      <c r="G17" s="68">
        <f>SUM(H17:J17)</f>
        <v>1934188</v>
      </c>
      <c r="H17" s="95">
        <f t="shared" ref="H17:J18" si="0">ROUNDUP(H14*H7,0)</f>
        <v>322341</v>
      </c>
      <c r="I17" s="95">
        <f t="shared" si="0"/>
        <v>967166</v>
      </c>
      <c r="J17" s="95">
        <f t="shared" si="0"/>
        <v>644681</v>
      </c>
      <c r="K17" s="52"/>
    </row>
    <row r="18" spans="2:11">
      <c r="B18" s="221">
        <v>2</v>
      </c>
      <c r="C18" s="32" t="s">
        <v>45</v>
      </c>
      <c r="D18" s="32"/>
      <c r="E18" s="32"/>
      <c r="F18" s="32"/>
      <c r="G18" s="68">
        <f>SUM(H18:J18)</f>
        <v>-3473973</v>
      </c>
      <c r="H18" s="95">
        <f t="shared" si="0"/>
        <v>-579000</v>
      </c>
      <c r="I18" s="95">
        <f t="shared" si="0"/>
        <v>-1736973</v>
      </c>
      <c r="J18" s="95">
        <f t="shared" si="0"/>
        <v>-1158000</v>
      </c>
      <c r="K18" s="52"/>
    </row>
    <row r="19" spans="2:11">
      <c r="B19" s="221"/>
      <c r="C19" s="32"/>
      <c r="D19" s="32"/>
      <c r="E19" s="32"/>
      <c r="F19" s="32"/>
      <c r="G19" s="16"/>
      <c r="H19" s="16"/>
      <c r="I19" s="16"/>
      <c r="J19" s="16"/>
      <c r="K19" s="53"/>
    </row>
    <row r="20" spans="2:11">
      <c r="B20" s="221"/>
      <c r="C20" s="65" t="s">
        <v>41</v>
      </c>
      <c r="D20" s="32"/>
      <c r="E20" s="32"/>
      <c r="F20" s="32"/>
      <c r="G20" s="16"/>
      <c r="H20" s="16"/>
      <c r="I20" s="16"/>
      <c r="J20" s="16"/>
      <c r="K20" s="53"/>
    </row>
    <row r="21" spans="2:11">
      <c r="B21" s="221">
        <v>3</v>
      </c>
      <c r="C21" s="32" t="s">
        <v>50</v>
      </c>
      <c r="D21" s="32"/>
      <c r="E21" s="32"/>
      <c r="F21" s="32"/>
      <c r="G21" s="68">
        <f>SUM(H21:J21)</f>
        <v>100000</v>
      </c>
      <c r="H21" s="235">
        <v>-700000</v>
      </c>
      <c r="I21" s="235">
        <v>1300000</v>
      </c>
      <c r="J21" s="235">
        <v>-500000</v>
      </c>
      <c r="K21" s="53"/>
    </row>
    <row r="22" spans="2:11">
      <c r="B22" s="221">
        <v>4</v>
      </c>
      <c r="C22" s="51" t="s">
        <v>156</v>
      </c>
      <c r="D22" s="32"/>
      <c r="E22" s="32"/>
      <c r="F22" s="32"/>
      <c r="G22" s="68">
        <f>SUM(H22:J22)</f>
        <v>100000</v>
      </c>
      <c r="H22" s="95">
        <f>IF(H12+H21&lt;0,-H12,H21)</f>
        <v>-700000</v>
      </c>
      <c r="I22" s="95">
        <f>IF(I12+I21&lt;0,-I12,I21)</f>
        <v>1300000</v>
      </c>
      <c r="J22" s="95">
        <f>IF(J12+J21&lt;0,-J12,J21)</f>
        <v>-500000</v>
      </c>
      <c r="K22" s="53"/>
    </row>
    <row r="23" spans="2:11">
      <c r="B23" s="221">
        <v>5</v>
      </c>
      <c r="C23" s="65" t="s">
        <v>58</v>
      </c>
      <c r="D23" s="65"/>
      <c r="E23" s="65"/>
      <c r="F23" s="32"/>
      <c r="G23" s="68">
        <f>SUM(H23:J23)</f>
        <v>100000</v>
      </c>
      <c r="H23" s="95">
        <f>IF(H12+H22&gt;H9,MIN(MAX(H9-H12,0),H22),H22)</f>
        <v>-700000</v>
      </c>
      <c r="I23" s="95">
        <f>IF(I12+I22&gt;I9,MIN(MAX(I9-I12,0),I22),I22)</f>
        <v>1300000</v>
      </c>
      <c r="J23" s="95">
        <f>IF(J12+J22&gt;J9,MIN(MAX(J9-J12,0),J22),J22)</f>
        <v>-500000</v>
      </c>
      <c r="K23" s="53"/>
    </row>
    <row r="24" spans="2:11">
      <c r="B24" s="221"/>
      <c r="C24" s="32"/>
      <c r="D24" s="32"/>
      <c r="E24" s="32"/>
      <c r="F24" s="32"/>
      <c r="G24" s="32"/>
      <c r="H24" s="16"/>
      <c r="I24" s="16"/>
      <c r="J24" s="16"/>
      <c r="K24" s="59"/>
    </row>
    <row r="25" spans="2:11">
      <c r="B25" s="221">
        <v>6</v>
      </c>
      <c r="C25" s="32" t="s">
        <v>86</v>
      </c>
      <c r="D25" s="32"/>
      <c r="E25" s="32"/>
      <c r="F25" s="32"/>
      <c r="G25" s="68">
        <f>SUM(H25:J25)</f>
        <v>-111834</v>
      </c>
      <c r="H25" s="95">
        <f>IF(H23&gt;0,MIN(H23,H17),IF(H23&lt;0,MAX(H23,H18),0))</f>
        <v>-579000</v>
      </c>
      <c r="I25" s="95">
        <f>IF(I23&gt;0,MIN(I23,I17),IF(I23&lt;0,MAX(I23,I18),0))</f>
        <v>967166</v>
      </c>
      <c r="J25" s="95">
        <f>IF(J23&gt;0,MIN(J23,J17),IF(J23&lt;0,MAX(J23,J18),0))</f>
        <v>-500000</v>
      </c>
      <c r="K25" s="53"/>
    </row>
    <row r="26" spans="2:11">
      <c r="B26" s="221">
        <v>7</v>
      </c>
      <c r="C26" s="32" t="s">
        <v>84</v>
      </c>
      <c r="D26" s="32"/>
      <c r="E26" s="32"/>
      <c r="F26" s="32"/>
      <c r="G26" s="68">
        <f>SUM(H26:J26)</f>
        <v>-121000</v>
      </c>
      <c r="H26" s="95">
        <f>IF(H23-H25&lt;0,H23-H25,0)</f>
        <v>-121000</v>
      </c>
      <c r="I26" s="95">
        <f>IF(I23-I25&lt;0,I23-I25,0)</f>
        <v>0</v>
      </c>
      <c r="J26" s="95">
        <f>IF(J23-J25&lt;0,J23-J25,0)</f>
        <v>0</v>
      </c>
      <c r="K26" s="59"/>
    </row>
    <row r="27" spans="2:11">
      <c r="B27" s="221">
        <v>8</v>
      </c>
      <c r="C27" s="32" t="s">
        <v>85</v>
      </c>
      <c r="D27" s="32"/>
      <c r="E27" s="32"/>
      <c r="F27" s="32"/>
      <c r="G27" s="68">
        <f>SUM(H27:J27)</f>
        <v>332834</v>
      </c>
      <c r="H27" s="95">
        <f>IF(H23-H25&gt;0,H23-H25,0)</f>
        <v>0</v>
      </c>
      <c r="I27" s="95">
        <f>IF(I23-I25&gt;0,I23-I25,0)</f>
        <v>332834</v>
      </c>
      <c r="J27" s="95">
        <f>IF(J23-J25&gt;0,J23-J25,0)</f>
        <v>0</v>
      </c>
      <c r="K27" s="59"/>
    </row>
    <row r="28" spans="2:11">
      <c r="B28" s="221"/>
      <c r="C28" s="32"/>
      <c r="D28" s="32"/>
      <c r="E28" s="32"/>
      <c r="F28" s="32"/>
      <c r="G28" s="16"/>
      <c r="H28" s="16"/>
      <c r="I28" s="16"/>
      <c r="J28" s="16"/>
      <c r="K28" s="59"/>
    </row>
    <row r="29" spans="2:11">
      <c r="B29" s="221">
        <v>9</v>
      </c>
      <c r="C29" s="66" t="s">
        <v>71</v>
      </c>
      <c r="D29" s="32"/>
      <c r="E29" s="32"/>
      <c r="F29" s="32"/>
      <c r="G29" s="67" t="str">
        <f>IF(G25+G26&gt;0,"Injection",IF(G25+G26&lt;0,"Withdrawal","Zero Flow"))</f>
        <v>Withdrawal</v>
      </c>
      <c r="H29" s="83" t="s">
        <v>63</v>
      </c>
      <c r="I29" s="16"/>
      <c r="J29" s="16"/>
      <c r="K29" s="59"/>
    </row>
    <row r="30" spans="2:11">
      <c r="B30" s="221">
        <v>10</v>
      </c>
      <c r="C30" s="66" t="s">
        <v>70</v>
      </c>
      <c r="D30" s="32"/>
      <c r="E30" s="32"/>
      <c r="F30" s="32"/>
      <c r="G30" s="67" t="str">
        <f>IF(G25+G26+G27&gt;0,"Injection",IF(G25+G26+G27&lt;0,"Withdrawal","Zero Flow"))</f>
        <v>Injection</v>
      </c>
      <c r="H30" s="83" t="s">
        <v>72</v>
      </c>
      <c r="I30" s="16"/>
      <c r="J30" s="16"/>
      <c r="K30" s="53"/>
    </row>
    <row r="31" spans="2:11">
      <c r="B31" s="221"/>
      <c r="C31" s="32"/>
      <c r="D31" s="32"/>
      <c r="E31" s="32"/>
      <c r="F31" s="32"/>
      <c r="G31" s="84" t="s">
        <v>73</v>
      </c>
      <c r="H31" s="62"/>
      <c r="I31" s="16"/>
      <c r="J31" s="16"/>
      <c r="K31" s="59"/>
    </row>
    <row r="32" spans="2:11">
      <c r="B32" s="221">
        <v>11</v>
      </c>
      <c r="C32" s="32" t="s">
        <v>47</v>
      </c>
      <c r="D32" s="32"/>
      <c r="E32" s="32"/>
      <c r="F32" s="32"/>
      <c r="G32" s="16"/>
      <c r="H32" s="222" t="str">
        <f>IF(H7&gt;0,"Primary","Secondary")</f>
        <v>Primary</v>
      </c>
      <c r="I32" s="222" t="str">
        <f>IF(I7&gt;0,"Primary","Secondary")</f>
        <v>Primary</v>
      </c>
      <c r="J32" s="222" t="str">
        <f>IF(J7&gt;0,"Primary","Secondary")</f>
        <v>Primary</v>
      </c>
      <c r="K32" s="59"/>
    </row>
    <row r="33" spans="2:11">
      <c r="B33" s="221"/>
      <c r="C33" s="32"/>
      <c r="D33" s="32"/>
      <c r="E33" s="32"/>
      <c r="F33" s="32"/>
      <c r="G33" s="56" t="s">
        <v>69</v>
      </c>
      <c r="H33" s="16"/>
      <c r="I33" s="16"/>
      <c r="J33" s="16"/>
      <c r="K33" s="59"/>
    </row>
    <row r="34" spans="2:11">
      <c r="B34" s="221">
        <v>12</v>
      </c>
      <c r="C34" s="66" t="s">
        <v>74</v>
      </c>
      <c r="D34" s="66"/>
      <c r="E34" s="66"/>
      <c r="F34" s="66"/>
      <c r="G34" s="69">
        <f>SUM(H34:J34)</f>
        <v>332834</v>
      </c>
      <c r="H34" s="96">
        <f>IF(AND(H32="Primary",H27&gt;0),H27,0)</f>
        <v>0</v>
      </c>
      <c r="I34" s="96">
        <f>IF(AND(I32="Primary",I27&gt;0),I27,0)</f>
        <v>332834</v>
      </c>
      <c r="J34" s="96">
        <f>IF(AND(J32="Primary",J27&gt;0),J27,0)</f>
        <v>0</v>
      </c>
      <c r="K34" s="53"/>
    </row>
    <row r="35" spans="2:11">
      <c r="B35" s="221">
        <v>13</v>
      </c>
      <c r="C35" s="66" t="s">
        <v>75</v>
      </c>
      <c r="D35" s="66"/>
      <c r="E35" s="66"/>
      <c r="F35" s="66"/>
      <c r="G35" s="69">
        <f>SUM(H35:J35)</f>
        <v>0</v>
      </c>
      <c r="H35" s="96">
        <f>IF(AND(H32="Secondary",H27&gt;0),H27,0)</f>
        <v>0</v>
      </c>
      <c r="I35" s="96">
        <f>IF(AND(I32="Secondary",I27&gt;0),I27,0)</f>
        <v>0</v>
      </c>
      <c r="J35" s="96">
        <f>IF(AND(J32="Secondary",J27&gt;0),J27,0)</f>
        <v>0</v>
      </c>
      <c r="K35" s="53"/>
    </row>
    <row r="36" spans="2:11">
      <c r="B36" s="221"/>
      <c r="C36" s="32"/>
      <c r="D36" s="32"/>
      <c r="E36" s="32"/>
      <c r="F36" s="32"/>
      <c r="G36" s="16"/>
      <c r="H36" s="16"/>
      <c r="I36" s="16"/>
      <c r="J36" s="16"/>
      <c r="K36" s="53"/>
    </row>
    <row r="37" spans="2:11">
      <c r="B37" s="221">
        <v>14</v>
      </c>
      <c r="C37" s="32" t="s">
        <v>81</v>
      </c>
      <c r="D37" s="32"/>
      <c r="E37" s="32"/>
      <c r="F37" s="32"/>
      <c r="G37" s="70">
        <f>0-G25-G26</f>
        <v>232834</v>
      </c>
      <c r="H37" s="16"/>
      <c r="I37" s="16"/>
      <c r="J37" s="16"/>
      <c r="K37" s="53"/>
    </row>
    <row r="38" spans="2:11">
      <c r="B38" s="221">
        <v>15</v>
      </c>
      <c r="C38" s="32" t="s">
        <v>76</v>
      </c>
      <c r="D38" s="32"/>
      <c r="E38" s="32"/>
      <c r="F38" s="32"/>
      <c r="G38" s="71">
        <f>IF(G34=0,0,IF(G37&gt;G34,G34,G37))</f>
        <v>232834</v>
      </c>
      <c r="H38" s="65" t="str">
        <f>IF(G38=G34,"Fully Awarded", IF(G38&lt;&gt;0,"Partly Awarded","Not Awarded"))</f>
        <v>Partly Awarded</v>
      </c>
      <c r="I38" s="16"/>
      <c r="J38" s="16"/>
      <c r="K38" s="53"/>
    </row>
    <row r="39" spans="2:11">
      <c r="B39" s="221">
        <v>16</v>
      </c>
      <c r="C39" s="32" t="s">
        <v>77</v>
      </c>
      <c r="D39" s="32"/>
      <c r="E39" s="32"/>
      <c r="F39" s="32"/>
      <c r="G39" s="71">
        <f>IF(H38="Partly Awarded",0,IF(G35=0,0,IF(G37-G38&gt;G35,G35,G37-G38)))</f>
        <v>0</v>
      </c>
      <c r="H39" s="65" t="str">
        <f>IF(G39=G35,"Fully Awarded", IF(G39&lt;&gt;0,"Partly Awarded","Not Awarded"))</f>
        <v>Fully Awarded</v>
      </c>
      <c r="I39" s="16"/>
      <c r="J39" s="16"/>
      <c r="K39" s="53"/>
    </row>
    <row r="40" spans="2:11">
      <c r="B40" s="221">
        <v>17</v>
      </c>
      <c r="C40" s="66" t="s">
        <v>78</v>
      </c>
      <c r="D40" s="32"/>
      <c r="E40" s="32"/>
      <c r="F40" s="32"/>
      <c r="G40" s="72">
        <f>SUM(H40:J40)</f>
        <v>1281000</v>
      </c>
      <c r="H40" s="96">
        <f>IF(H34&gt;0,H7,0)</f>
        <v>0</v>
      </c>
      <c r="I40" s="96">
        <f>IF(I34&gt;0,I7,0)</f>
        <v>1281000</v>
      </c>
      <c r="J40" s="96">
        <f>IF(J34&gt;0,J7,0)</f>
        <v>0</v>
      </c>
      <c r="K40" s="53"/>
    </row>
    <row r="41" spans="2:11">
      <c r="B41" s="221"/>
      <c r="C41" s="32"/>
      <c r="D41" s="32"/>
      <c r="E41" s="32"/>
      <c r="F41" s="32"/>
      <c r="G41" s="16"/>
      <c r="H41" s="16"/>
      <c r="I41" s="16"/>
      <c r="J41" s="16"/>
      <c r="K41" s="53"/>
    </row>
    <row r="42" spans="2:11">
      <c r="B42" s="221"/>
      <c r="C42" s="65" t="s">
        <v>214</v>
      </c>
      <c r="D42" s="65"/>
      <c r="E42" s="32"/>
      <c r="F42" s="32"/>
      <c r="G42" s="16"/>
      <c r="H42" s="16"/>
      <c r="I42" s="16"/>
      <c r="J42" s="16"/>
      <c r="K42" s="53"/>
    </row>
    <row r="43" spans="2:11">
      <c r="B43" s="221">
        <v>18</v>
      </c>
      <c r="C43" s="32" t="s">
        <v>183</v>
      </c>
      <c r="D43" s="32"/>
      <c r="E43" s="32"/>
      <c r="F43" s="32"/>
      <c r="G43" s="68">
        <f>SUM(H43:J43)</f>
        <v>-111834</v>
      </c>
      <c r="H43" s="95">
        <f t="shared" ref="H43:J44" si="1">H25</f>
        <v>-579000</v>
      </c>
      <c r="I43" s="95">
        <f t="shared" si="1"/>
        <v>967166</v>
      </c>
      <c r="J43" s="95">
        <f t="shared" si="1"/>
        <v>-500000</v>
      </c>
      <c r="K43" s="53"/>
    </row>
    <row r="44" spans="2:11">
      <c r="B44" s="221">
        <v>19</v>
      </c>
      <c r="C44" s="32" t="s">
        <v>192</v>
      </c>
      <c r="D44" s="32"/>
      <c r="E44" s="32"/>
      <c r="F44" s="32"/>
      <c r="G44" s="68">
        <f>SUM(H44:J44)</f>
        <v>-121000</v>
      </c>
      <c r="H44" s="95">
        <f t="shared" si="1"/>
        <v>-121000</v>
      </c>
      <c r="I44" s="95">
        <f t="shared" si="1"/>
        <v>0</v>
      </c>
      <c r="J44" s="95">
        <f t="shared" si="1"/>
        <v>0</v>
      </c>
      <c r="K44" s="53"/>
    </row>
    <row r="45" spans="2:11">
      <c r="B45" s="221">
        <v>20</v>
      </c>
      <c r="C45" s="32" t="s">
        <v>193</v>
      </c>
      <c r="D45" s="32"/>
      <c r="E45" s="32"/>
      <c r="F45" s="32"/>
      <c r="G45" s="68">
        <f>SUM(H45:J45)</f>
        <v>232834</v>
      </c>
      <c r="H45" s="95">
        <f>IF($H$38="Fully Awarded",H34,MIN(H40/$G40*$G37,H34))</f>
        <v>0</v>
      </c>
      <c r="I45" s="95">
        <f>IF($H$38="Fully Awarded",I34,MIN(I40/$G40*$G37,I34))</f>
        <v>232834</v>
      </c>
      <c r="J45" s="95">
        <f>IF($H$38="Fully Awarded",J34,MIN(J40/$G40*$G37,J34))</f>
        <v>0</v>
      </c>
      <c r="K45" s="53"/>
    </row>
    <row r="46" spans="2:11">
      <c r="B46" s="221">
        <v>21</v>
      </c>
      <c r="C46" s="32" t="s">
        <v>194</v>
      </c>
      <c r="D46" s="32"/>
      <c r="E46" s="32"/>
      <c r="F46" s="32"/>
      <c r="G46" s="68">
        <f>SUM(H46:J46)</f>
        <v>0</v>
      </c>
      <c r="H46" s="95">
        <f>IF($H$38="Partly Awarded",IF(H45=H34,0,$G37-$G45),0)</f>
        <v>0</v>
      </c>
      <c r="I46" s="95">
        <f>IF($H$38="Partly Awarded",IF(I45=I34,0,$G37-$G45),0)</f>
        <v>0</v>
      </c>
      <c r="J46" s="95">
        <f>IF($H$38="Partly Awarded",IF(J45=J34,0,$G37-$G45),0)</f>
        <v>0</v>
      </c>
      <c r="K46" s="53"/>
    </row>
    <row r="47" spans="2:11">
      <c r="B47" s="221">
        <v>22</v>
      </c>
      <c r="C47" s="32" t="s">
        <v>195</v>
      </c>
      <c r="D47" s="32"/>
      <c r="E47" s="32"/>
      <c r="F47" s="32"/>
      <c r="G47" s="68">
        <f>SUM(H47:J47)</f>
        <v>0</v>
      </c>
      <c r="H47" s="95">
        <f>IF($H$39="Fully Awarded",H35,(($G37-$G38)/$G35)*H35)</f>
        <v>0</v>
      </c>
      <c r="I47" s="95">
        <f>IF($H$39="Fully Awarded",I35,(($G37-$G38)/$G35)*I35)</f>
        <v>0</v>
      </c>
      <c r="J47" s="95">
        <f>IF($H$39="Fully Awarded",J35,(($G37-$G38)/$G35)*J35)</f>
        <v>0</v>
      </c>
      <c r="K47" s="53"/>
    </row>
    <row r="48" spans="2:11">
      <c r="B48" s="221"/>
      <c r="C48" s="32"/>
      <c r="D48" s="32"/>
      <c r="E48" s="32"/>
      <c r="F48" s="32"/>
      <c r="G48" s="16"/>
      <c r="H48" s="16"/>
      <c r="I48" s="16"/>
      <c r="J48" s="16"/>
      <c r="K48" s="53"/>
    </row>
    <row r="49" spans="2:11">
      <c r="B49" s="221">
        <v>23</v>
      </c>
      <c r="C49" s="32" t="s">
        <v>187</v>
      </c>
      <c r="D49" s="32"/>
      <c r="E49" s="32"/>
      <c r="F49" s="32"/>
      <c r="G49" s="68">
        <f>SUM(H49:J49)</f>
        <v>0</v>
      </c>
      <c r="H49" s="95">
        <f>SUM(H43:H47)</f>
        <v>-700000</v>
      </c>
      <c r="I49" s="95">
        <f>SUM(I43:I47)</f>
        <v>1200000</v>
      </c>
      <c r="J49" s="95">
        <f>SUM(J43:J47)</f>
        <v>-500000</v>
      </c>
      <c r="K49" s="53"/>
    </row>
    <row r="50" spans="2:11">
      <c r="B50" s="221"/>
      <c r="C50" s="32"/>
      <c r="D50" s="32"/>
      <c r="E50" s="32"/>
      <c r="F50" s="32"/>
      <c r="G50" s="16"/>
      <c r="H50" s="16"/>
      <c r="I50" s="16"/>
      <c r="J50" s="16"/>
      <c r="K50" s="53"/>
    </row>
    <row r="51" spans="2:11">
      <c r="B51" s="221"/>
      <c r="C51" s="32" t="s">
        <v>216</v>
      </c>
      <c r="D51" s="32"/>
      <c r="E51" s="32"/>
      <c r="F51" s="32"/>
      <c r="G51" s="68">
        <f>SUM(H51:J51)</f>
        <v>5999384000</v>
      </c>
      <c r="H51" s="95">
        <f>H12+H49</f>
        <v>999677000</v>
      </c>
      <c r="I51" s="95">
        <f>I12+I49</f>
        <v>2999363000</v>
      </c>
      <c r="J51" s="95">
        <f>J12+J49</f>
        <v>2000344000</v>
      </c>
      <c r="K51" s="53"/>
    </row>
    <row r="52" spans="2:11" ht="13.5" thickBot="1">
      <c r="B52" s="18"/>
      <c r="C52" s="247"/>
      <c r="D52" s="19"/>
      <c r="E52" s="19"/>
      <c r="F52" s="19"/>
      <c r="G52" s="19"/>
      <c r="H52" s="19"/>
      <c r="I52" s="19"/>
      <c r="J52" s="19"/>
      <c r="K52" s="61"/>
    </row>
    <row r="57" spans="2:11">
      <c r="B57" s="8"/>
    </row>
    <row r="58" spans="2:11">
      <c r="B58" s="8"/>
    </row>
    <row r="59" spans="2:11">
      <c r="B59" s="8"/>
    </row>
    <row r="60" spans="2:11">
      <c r="B60" s="8"/>
    </row>
    <row r="61" spans="2:11">
      <c r="B61" s="8"/>
    </row>
    <row r="62" spans="2:11">
      <c r="B62" s="8"/>
    </row>
    <row r="63" spans="2:11">
      <c r="B63" s="8"/>
    </row>
    <row r="64" spans="2:11">
      <c r="B64" s="8"/>
    </row>
    <row r="65" spans="2:2">
      <c r="B65" s="8"/>
    </row>
    <row r="66" spans="2:2">
      <c r="B66" s="8"/>
    </row>
    <row r="67" spans="2:2">
      <c r="B67" s="8"/>
    </row>
    <row r="68" spans="2:2">
      <c r="B68" s="8"/>
    </row>
  </sheetData>
  <sheetProtection password="DBBB" sheet="1" objects="1" scenarios="1"/>
  <phoneticPr fontId="0" type="noConversion"/>
  <conditionalFormatting sqref="H29">
    <cfRule type="expression" dxfId="22" priority="1" stopIfTrue="1">
      <formula>$G$29="Injection"</formula>
    </cfRule>
  </conditionalFormatting>
  <conditionalFormatting sqref="H31">
    <cfRule type="expression" dxfId="21" priority="2" stopIfTrue="1">
      <formula>OR($G$29="Injection",$G$30="Injection")</formula>
    </cfRule>
  </conditionalFormatting>
  <conditionalFormatting sqref="C31:F31">
    <cfRule type="expression" dxfId="20" priority="3" stopIfTrue="1">
      <formula>OR($G$29="Injection",$G$30="Withdrawal",$G$29="Zero Flow")</formula>
    </cfRule>
  </conditionalFormatting>
  <conditionalFormatting sqref="H30">
    <cfRule type="expression" dxfId="19" priority="4" stopIfTrue="1">
      <formula>AND($G$29="Withdrawal",$G$30="Withdrawal")</formula>
    </cfRule>
  </conditionalFormatting>
  <conditionalFormatting sqref="I30:J30 C30:G30">
    <cfRule type="expression" dxfId="18" priority="5" stopIfTrue="1">
      <formula>$G$29="Injection"</formula>
    </cfRule>
  </conditionalFormatting>
  <conditionalFormatting sqref="C32:J51">
    <cfRule type="expression" dxfId="17" priority="6" stopIfTrue="1">
      <formula>OR($G$29="Injection",$G$30="Withdrawal",$G$30="Zero Flow")</formula>
    </cfRule>
  </conditionalFormatting>
  <conditionalFormatting sqref="G31">
    <cfRule type="expression" dxfId="16" priority="7" stopIfTrue="1">
      <formula>$G$30="Zero Flow"</formula>
    </cfRule>
  </conditionalFormatting>
  <dataValidations count="1">
    <dataValidation type="whole" allowBlank="1" showErrorMessage="1" errorTitle="Negative Withdrawal Capacity" error="Withdrawal Capacity should be negative." sqref="H8:J8">
      <formula1>-1E+21</formula1>
      <formula2>0</formula2>
    </dataValidation>
  </dataValidations>
  <pageMargins left="0.17" right="0.16" top="0.42" bottom="0.53" header="0.5" footer="0.5"/>
  <pageSetup paperSize="8" scale="7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0"/>
    <pageSetUpPr fitToPage="1"/>
  </sheetPr>
  <dimension ref="B1:K53"/>
  <sheetViews>
    <sheetView defaultGridColor="0" colorId="55" zoomScaleNormal="100" workbookViewId="0">
      <selection activeCell="F9" sqref="F9:H24"/>
    </sheetView>
  </sheetViews>
  <sheetFormatPr defaultRowHeight="12.75"/>
  <cols>
    <col min="1" max="1" width="100.42578125" style="1" customWidth="1"/>
    <col min="2" max="2" width="3" style="1" customWidth="1"/>
    <col min="3" max="6" width="12.5703125" style="1" customWidth="1"/>
    <col min="7" max="10" width="16.7109375" style="1" customWidth="1"/>
    <col min="11" max="11" width="1" style="1" customWidth="1"/>
    <col min="12" max="16384" width="9.140625" style="1"/>
  </cols>
  <sheetData>
    <row r="1" spans="2:11" ht="122.25" customHeight="1"/>
    <row r="2" spans="2:11" ht="15">
      <c r="B2" s="47"/>
      <c r="C2" s="206"/>
    </row>
    <row r="3" spans="2:11">
      <c r="B3" s="48"/>
      <c r="C3" s="4"/>
    </row>
    <row r="4" spans="2:11" ht="51.75" customHeight="1" thickBot="1">
      <c r="B4" s="48"/>
      <c r="C4" s="48"/>
    </row>
    <row r="5" spans="2:11" ht="13.5" thickBot="1">
      <c r="B5" s="117" t="s">
        <v>83</v>
      </c>
      <c r="C5" s="118"/>
      <c r="D5" s="117"/>
      <c r="E5" s="118"/>
      <c r="F5" s="117"/>
      <c r="G5" s="118"/>
    </row>
    <row r="6" spans="2:11">
      <c r="B6" s="12"/>
      <c r="C6" s="13"/>
      <c r="D6" s="13"/>
      <c r="E6" s="13"/>
      <c r="F6" s="13"/>
      <c r="G6" s="29" t="s">
        <v>42</v>
      </c>
      <c r="H6" s="54" t="s">
        <v>37</v>
      </c>
      <c r="I6" s="54" t="s">
        <v>38</v>
      </c>
      <c r="J6" s="54" t="s">
        <v>39</v>
      </c>
      <c r="K6" s="80"/>
    </row>
    <row r="7" spans="2:11">
      <c r="B7" s="15"/>
      <c r="C7" s="32" t="s">
        <v>90</v>
      </c>
      <c r="D7" s="32"/>
      <c r="E7" s="32"/>
      <c r="F7" s="32"/>
      <c r="G7" s="68">
        <f t="shared" ref="G7:G12" si="0">SUM(H7:J7)</f>
        <v>2562000</v>
      </c>
      <c r="H7" s="235">
        <v>427000</v>
      </c>
      <c r="I7" s="235">
        <v>1281000</v>
      </c>
      <c r="J7" s="235">
        <v>854000</v>
      </c>
      <c r="K7" s="81"/>
    </row>
    <row r="8" spans="2:11">
      <c r="B8" s="15"/>
      <c r="C8" s="32" t="s">
        <v>91</v>
      </c>
      <c r="D8" s="32"/>
      <c r="E8" s="32"/>
      <c r="F8" s="32"/>
      <c r="G8" s="90">
        <f t="shared" si="0"/>
        <v>-3474000</v>
      </c>
      <c r="H8" s="235">
        <v>-579000</v>
      </c>
      <c r="I8" s="235">
        <v>-1737000</v>
      </c>
      <c r="J8" s="235">
        <v>-1158000</v>
      </c>
      <c r="K8" s="81"/>
    </row>
    <row r="9" spans="2:11">
      <c r="B9" s="15"/>
      <c r="C9" s="32" t="s">
        <v>92</v>
      </c>
      <c r="D9" s="32"/>
      <c r="E9" s="32"/>
      <c r="F9" s="32"/>
      <c r="G9" s="68">
        <f t="shared" si="0"/>
        <v>6000000000</v>
      </c>
      <c r="H9" s="234">
        <v>1000000000</v>
      </c>
      <c r="I9" s="234">
        <v>3000000000</v>
      </c>
      <c r="J9" s="234">
        <v>2000000000</v>
      </c>
      <c r="K9" s="81"/>
    </row>
    <row r="10" spans="2:11">
      <c r="B10" s="15"/>
      <c r="C10" s="66"/>
      <c r="D10" s="66"/>
      <c r="E10" s="66"/>
      <c r="F10" s="66"/>
      <c r="G10" s="88"/>
      <c r="H10" s="16"/>
      <c r="I10" s="16"/>
      <c r="J10" s="16"/>
      <c r="K10" s="35"/>
    </row>
    <row r="11" spans="2:11">
      <c r="B11" s="15"/>
      <c r="C11" s="16" t="s">
        <v>203</v>
      </c>
      <c r="D11" s="32"/>
      <c r="E11" s="32"/>
      <c r="F11" s="32"/>
      <c r="G11" s="68">
        <f t="shared" si="0"/>
        <v>6001181000</v>
      </c>
      <c r="H11" s="234">
        <v>1000427000</v>
      </c>
      <c r="I11" s="234">
        <v>2999900000</v>
      </c>
      <c r="J11" s="234">
        <v>2000854000</v>
      </c>
      <c r="K11" s="81"/>
    </row>
    <row r="12" spans="2:11">
      <c r="B12" s="15"/>
      <c r="C12" s="16" t="s">
        <v>204</v>
      </c>
      <c r="D12" s="32"/>
      <c r="E12" s="32"/>
      <c r="F12" s="32"/>
      <c r="G12" s="91">
        <f t="shared" si="0"/>
        <v>5999384000</v>
      </c>
      <c r="H12" s="234">
        <v>1000377000</v>
      </c>
      <c r="I12" s="234">
        <v>2998163000</v>
      </c>
      <c r="J12" s="234">
        <v>2000844000</v>
      </c>
      <c r="K12" s="81"/>
    </row>
    <row r="13" spans="2:11">
      <c r="B13" s="15"/>
      <c r="C13" s="32"/>
      <c r="D13" s="32"/>
      <c r="E13" s="32"/>
      <c r="F13" s="32"/>
      <c r="G13" s="16"/>
      <c r="H13" s="16"/>
      <c r="I13" s="16"/>
      <c r="J13" s="16"/>
      <c r="K13" s="35"/>
    </row>
    <row r="14" spans="2:11">
      <c r="B14" s="15"/>
      <c r="C14" s="32" t="s">
        <v>40</v>
      </c>
      <c r="D14" s="32"/>
      <c r="E14" s="32"/>
      <c r="F14" s="32"/>
      <c r="G14" s="16"/>
      <c r="H14" s="94">
        <f>IF(H9=0,0.755,0.755+0.245*(H9-H11)/H9)</f>
        <v>0.75489538499999997</v>
      </c>
      <c r="I14" s="94">
        <f>IF(I9=0,0.755,0.755+0.245*(I9-I11)/I9)</f>
        <v>0.7550081666666667</v>
      </c>
      <c r="J14" s="94">
        <f>IF(J9=0,0.755,0.755+0.245*(J9-J11)/J9)</f>
        <v>0.75489538499999997</v>
      </c>
      <c r="K14" s="35"/>
    </row>
    <row r="15" spans="2:11">
      <c r="B15" s="15"/>
      <c r="C15" s="32" t="s">
        <v>46</v>
      </c>
      <c r="D15" s="32"/>
      <c r="E15" s="32"/>
      <c r="F15" s="32"/>
      <c r="G15" s="16"/>
      <c r="H15" s="94">
        <f>MIN(IF(H9=0,0.523,0.523+0.477*H11/H9),1)</f>
        <v>1</v>
      </c>
      <c r="I15" s="94">
        <f>MIN(IF(I9=0,0.523,0.523+0.477*I11/I9),1)</f>
        <v>0.99998410000000004</v>
      </c>
      <c r="J15" s="94">
        <f>MIN(IF(J9=0,0.523,0.523+0.477*J11/J9),1)</f>
        <v>1</v>
      </c>
      <c r="K15" s="35"/>
    </row>
    <row r="16" spans="2:11">
      <c r="B16" s="15"/>
      <c r="C16" s="32"/>
      <c r="D16" s="32"/>
      <c r="E16" s="32"/>
      <c r="F16" s="32"/>
      <c r="G16" s="16"/>
      <c r="H16" s="16"/>
      <c r="I16" s="16"/>
      <c r="J16" s="16"/>
      <c r="K16" s="35"/>
    </row>
    <row r="17" spans="2:11">
      <c r="B17" s="221">
        <v>1</v>
      </c>
      <c r="C17" s="32" t="s">
        <v>44</v>
      </c>
      <c r="D17" s="32"/>
      <c r="E17" s="64"/>
      <c r="F17" s="32"/>
      <c r="G17" s="68">
        <f>SUM(H17:J17)</f>
        <v>1934188</v>
      </c>
      <c r="H17" s="95">
        <f t="shared" ref="H17:J18" si="1">ROUNDUP(H14*H7,0)</f>
        <v>322341</v>
      </c>
      <c r="I17" s="95">
        <f t="shared" si="1"/>
        <v>967166</v>
      </c>
      <c r="J17" s="95">
        <f t="shared" si="1"/>
        <v>644681</v>
      </c>
      <c r="K17" s="77"/>
    </row>
    <row r="18" spans="2:11">
      <c r="B18" s="221">
        <v>2</v>
      </c>
      <c r="C18" s="32" t="s">
        <v>45</v>
      </c>
      <c r="D18" s="32"/>
      <c r="E18" s="32"/>
      <c r="F18" s="32"/>
      <c r="G18" s="68">
        <f>SUM(H18:J18)</f>
        <v>-3473973</v>
      </c>
      <c r="H18" s="95">
        <f t="shared" si="1"/>
        <v>-579000</v>
      </c>
      <c r="I18" s="95">
        <f t="shared" si="1"/>
        <v>-1736973</v>
      </c>
      <c r="J18" s="95">
        <f t="shared" si="1"/>
        <v>-1158000</v>
      </c>
      <c r="K18" s="77"/>
    </row>
    <row r="19" spans="2:11">
      <c r="B19" s="221"/>
      <c r="C19" s="32"/>
      <c r="D19" s="32"/>
      <c r="E19" s="32"/>
      <c r="F19" s="32"/>
      <c r="G19" s="16"/>
      <c r="H19" s="16"/>
      <c r="I19" s="16"/>
      <c r="J19" s="16"/>
      <c r="K19" s="78"/>
    </row>
    <row r="20" spans="2:11">
      <c r="B20" s="221"/>
      <c r="C20" s="65" t="s">
        <v>41</v>
      </c>
      <c r="D20" s="32"/>
      <c r="E20" s="32"/>
      <c r="F20" s="32"/>
      <c r="G20" s="16"/>
      <c r="H20" s="16"/>
      <c r="I20" s="16"/>
      <c r="J20" s="16"/>
      <c r="K20" s="78"/>
    </row>
    <row r="21" spans="2:11">
      <c r="B21" s="221">
        <v>3</v>
      </c>
      <c r="C21" s="32" t="s">
        <v>50</v>
      </c>
      <c r="D21" s="32"/>
      <c r="E21" s="32"/>
      <c r="F21" s="32"/>
      <c r="G21" s="68">
        <f>SUM(H21:J21)</f>
        <v>1200000</v>
      </c>
      <c r="H21" s="235">
        <v>200000</v>
      </c>
      <c r="I21" s="235">
        <v>1200000</v>
      </c>
      <c r="J21" s="235">
        <v>-200000</v>
      </c>
      <c r="K21" s="78"/>
    </row>
    <row r="22" spans="2:11">
      <c r="B22" s="221">
        <v>4</v>
      </c>
      <c r="C22" s="51" t="s">
        <v>156</v>
      </c>
      <c r="D22" s="32"/>
      <c r="E22" s="32"/>
      <c r="F22" s="32"/>
      <c r="G22" s="68">
        <f>SUM(H22:J22)</f>
        <v>1200000</v>
      </c>
      <c r="H22" s="95">
        <f>IF(H12+H21&lt;0,-H12,H21)</f>
        <v>200000</v>
      </c>
      <c r="I22" s="95">
        <f>IF(I12+I21&lt;0,-I12,I21)</f>
        <v>1200000</v>
      </c>
      <c r="J22" s="95">
        <f>IF(J12+J21&lt;0,-J12,J21)</f>
        <v>-200000</v>
      </c>
      <c r="K22" s="78"/>
    </row>
    <row r="23" spans="2:11">
      <c r="B23" s="221">
        <v>5</v>
      </c>
      <c r="C23" s="32" t="s">
        <v>58</v>
      </c>
      <c r="D23" s="32"/>
      <c r="E23" s="32"/>
      <c r="F23" s="32"/>
      <c r="G23" s="68">
        <f>SUM(H23:J23)</f>
        <v>1000000</v>
      </c>
      <c r="H23" s="95">
        <f>IF(H12+H22&gt;H9,MIN(MAX(H9-H12,0),H22),H22)</f>
        <v>0</v>
      </c>
      <c r="I23" s="95">
        <f>IF(I12+I22&gt;I9,MIN(MAX(I9-I12,0),I22),I22)</f>
        <v>1200000</v>
      </c>
      <c r="J23" s="95">
        <f>IF(J12+J22&gt;J9,MIN(MAX(J9-J12,0),J22),J22)</f>
        <v>-200000</v>
      </c>
      <c r="K23" s="78"/>
    </row>
    <row r="24" spans="2:11">
      <c r="B24" s="221"/>
      <c r="C24" s="32"/>
      <c r="D24" s="32"/>
      <c r="E24" s="32"/>
      <c r="F24" s="32"/>
      <c r="G24" s="16"/>
      <c r="H24" s="16"/>
      <c r="I24" s="16"/>
      <c r="J24" s="16"/>
      <c r="K24" s="75"/>
    </row>
    <row r="25" spans="2:11">
      <c r="B25" s="221">
        <v>6</v>
      </c>
      <c r="C25" s="32" t="s">
        <v>86</v>
      </c>
      <c r="D25" s="32"/>
      <c r="E25" s="32"/>
      <c r="F25" s="32"/>
      <c r="G25" s="68">
        <f>SUM(H25:J25)</f>
        <v>767166</v>
      </c>
      <c r="H25" s="95">
        <f>IF(H23&gt;0,MIN(H23,H17),IF(H23&lt;0,MAX(H23,H18),0))</f>
        <v>0</v>
      </c>
      <c r="I25" s="95">
        <f>IF(I23&gt;0,MIN(I23,I17),IF(I23&lt;0,MAX(I23,I18),0))</f>
        <v>967166</v>
      </c>
      <c r="J25" s="95">
        <f>IF(J23&gt;0,MIN(J23,J17),IF(J23&lt;0,MAX(J23,J18),0))</f>
        <v>-200000</v>
      </c>
      <c r="K25" s="78"/>
    </row>
    <row r="26" spans="2:11">
      <c r="B26" s="221">
        <v>7</v>
      </c>
      <c r="C26" s="32" t="s">
        <v>84</v>
      </c>
      <c r="D26" s="32"/>
      <c r="E26" s="32"/>
      <c r="F26" s="32"/>
      <c r="G26" s="68">
        <f>SUM(H26:J26)</f>
        <v>0</v>
      </c>
      <c r="H26" s="95">
        <f>IF(H23-H25&lt;0,H23-H25,0)</f>
        <v>0</v>
      </c>
      <c r="I26" s="95">
        <f>IF(I23-I25&lt;0,I23-I25,0)</f>
        <v>0</v>
      </c>
      <c r="J26" s="95">
        <f>IF(J23-J25&lt;0,J23-J25,0)</f>
        <v>0</v>
      </c>
      <c r="K26" s="75"/>
    </row>
    <row r="27" spans="2:11">
      <c r="B27" s="221">
        <v>8</v>
      </c>
      <c r="C27" s="32" t="s">
        <v>85</v>
      </c>
      <c r="D27" s="32"/>
      <c r="E27" s="32"/>
      <c r="F27" s="32"/>
      <c r="G27" s="68">
        <f>SUM(H27:J27)</f>
        <v>232834</v>
      </c>
      <c r="H27" s="95">
        <f>IF(H23-H25&gt;0,H23-H25,0)</f>
        <v>0</v>
      </c>
      <c r="I27" s="95">
        <f>IF(I23-I25&gt;0,I23-I25,0)</f>
        <v>232834</v>
      </c>
      <c r="J27" s="95">
        <f>IF(J23-J25&gt;0,J23-J25,0)</f>
        <v>0</v>
      </c>
      <c r="K27" s="75"/>
    </row>
    <row r="28" spans="2:11">
      <c r="B28" s="221"/>
      <c r="C28" s="32"/>
      <c r="D28" s="32"/>
      <c r="E28" s="32"/>
      <c r="F28" s="32"/>
      <c r="G28" s="16"/>
      <c r="H28" s="16"/>
      <c r="I28" s="16"/>
      <c r="J28" s="16"/>
      <c r="K28" s="75"/>
    </row>
    <row r="29" spans="2:11">
      <c r="B29" s="221">
        <v>9</v>
      </c>
      <c r="C29" s="66" t="s">
        <v>71</v>
      </c>
      <c r="D29" s="32"/>
      <c r="E29" s="32"/>
      <c r="F29" s="32"/>
      <c r="G29" s="67" t="str">
        <f>IF(G25+G26&gt;0,"Injection",IF(G25+G26&lt;0,"Withdrawal","Zero Flow"))</f>
        <v>Injection</v>
      </c>
      <c r="H29" s="83" t="s">
        <v>87</v>
      </c>
      <c r="I29" s="16"/>
      <c r="J29" s="16"/>
      <c r="K29" s="75"/>
    </row>
    <row r="30" spans="2:11">
      <c r="B30" s="221">
        <v>10</v>
      </c>
      <c r="C30" s="66" t="s">
        <v>70</v>
      </c>
      <c r="D30" s="32"/>
      <c r="E30" s="32"/>
      <c r="F30" s="32"/>
      <c r="G30" s="6" t="str">
        <f>IF(G25+G26+G27&gt;0,"Injection",IF(G25+G26+G27&lt;0,"Withdrawal","Zero Flow"))</f>
        <v>Injection</v>
      </c>
      <c r="H30" s="83" t="s">
        <v>88</v>
      </c>
      <c r="I30" s="16"/>
      <c r="J30" s="16"/>
      <c r="K30" s="78"/>
    </row>
    <row r="31" spans="2:11">
      <c r="B31" s="221"/>
      <c r="C31" s="32"/>
      <c r="D31" s="32"/>
      <c r="E31" s="32"/>
      <c r="F31" s="32"/>
      <c r="G31" s="84" t="s">
        <v>73</v>
      </c>
      <c r="H31" s="85"/>
      <c r="I31" s="85"/>
      <c r="J31" s="85"/>
      <c r="K31" s="75"/>
    </row>
    <row r="32" spans="2:11">
      <c r="B32" s="221">
        <v>11</v>
      </c>
      <c r="C32" s="32" t="s">
        <v>57</v>
      </c>
      <c r="D32" s="32"/>
      <c r="E32" s="32"/>
      <c r="F32" s="32"/>
      <c r="G32" s="16"/>
      <c r="H32" s="92" t="str">
        <f>IF(H11&gt;H9,"YES","NO")</f>
        <v>YES</v>
      </c>
      <c r="I32" s="92" t="str">
        <f>IF(I11&gt;I9,"YES","NO")</f>
        <v>NO</v>
      </c>
      <c r="J32" s="92" t="str">
        <f>IF(J11&gt;J9,"YES","NO")</f>
        <v>YES</v>
      </c>
      <c r="K32" s="75"/>
    </row>
    <row r="33" spans="2:11">
      <c r="B33" s="221">
        <v>12</v>
      </c>
      <c r="C33" s="32" t="s">
        <v>59</v>
      </c>
      <c r="D33" s="32"/>
      <c r="E33" s="32"/>
      <c r="F33" s="32"/>
      <c r="G33" s="68">
        <f>SUM(H33:J33)</f>
        <v>1221000</v>
      </c>
      <c r="H33" s="95">
        <f>IF(H32="YES",MAX(H12-H9,0),0)</f>
        <v>377000</v>
      </c>
      <c r="I33" s="95">
        <f>IF(I32="YES",MAX(I12-I9,0),0)</f>
        <v>0</v>
      </c>
      <c r="J33" s="95">
        <f>IF(J32="YES",MAX(J12-J9,0),0)</f>
        <v>844000</v>
      </c>
      <c r="K33" s="75"/>
    </row>
    <row r="34" spans="2:11">
      <c r="B34" s="221"/>
      <c r="C34" s="32"/>
      <c r="D34" s="32"/>
      <c r="E34" s="32"/>
      <c r="F34" s="32"/>
      <c r="G34" s="16"/>
      <c r="H34" s="16"/>
      <c r="I34" s="16"/>
      <c r="J34" s="16"/>
      <c r="K34" s="78"/>
    </row>
    <row r="35" spans="2:11">
      <c r="B35" s="221"/>
      <c r="C35" s="32"/>
      <c r="D35" s="32"/>
      <c r="E35" s="32"/>
      <c r="F35" s="32"/>
      <c r="G35" s="16"/>
      <c r="H35" s="16"/>
      <c r="I35" s="16"/>
      <c r="J35" s="16"/>
      <c r="K35" s="78"/>
    </row>
    <row r="36" spans="2:11">
      <c r="B36" s="221"/>
      <c r="C36" s="32"/>
      <c r="D36" s="32"/>
      <c r="E36" s="32"/>
      <c r="F36" s="32"/>
      <c r="G36" s="16"/>
      <c r="H36" s="16"/>
      <c r="I36" s="16"/>
      <c r="J36" s="16"/>
      <c r="K36" s="78"/>
    </row>
    <row r="37" spans="2:11">
      <c r="B37" s="221">
        <v>13</v>
      </c>
      <c r="C37" s="32" t="s">
        <v>89</v>
      </c>
      <c r="D37" s="32"/>
      <c r="E37" s="32"/>
      <c r="F37" s="32"/>
      <c r="G37" s="70">
        <f>-G25-G26</f>
        <v>-767166</v>
      </c>
      <c r="H37" s="87"/>
      <c r="I37" s="50"/>
      <c r="J37" s="50"/>
      <c r="K37" s="78"/>
    </row>
    <row r="38" spans="2:11">
      <c r="B38" s="221">
        <v>14</v>
      </c>
      <c r="C38" s="32" t="s">
        <v>60</v>
      </c>
      <c r="D38" s="32"/>
      <c r="E38" s="32"/>
      <c r="F38" s="32"/>
      <c r="G38" s="68">
        <f>SUM(H38:J38)</f>
        <v>-200000</v>
      </c>
      <c r="H38" s="95">
        <f>IF(H32="YES",IF(H25&lt;0,H25,0),0)+IF(H32="YES",IF(H26&lt;0,H26,0),0)</f>
        <v>0</v>
      </c>
      <c r="I38" s="95">
        <f>IF(I32="YES",IF(I25&lt;0,I25,0),0)+IF(I32="YES",IF(I26&lt;0,I26,0),0)</f>
        <v>0</v>
      </c>
      <c r="J38" s="95">
        <f>IF(J32="YES",IF(J25&lt;0,J25,0),0)+IF(J32="YES",IF(J26&lt;0,J26,0),0)</f>
        <v>-200000</v>
      </c>
      <c r="K38" s="78"/>
    </row>
    <row r="39" spans="2:11">
      <c r="B39" s="221"/>
      <c r="C39" s="32"/>
      <c r="D39" s="32"/>
      <c r="E39" s="32"/>
      <c r="F39" s="32"/>
      <c r="G39" s="16"/>
      <c r="H39" s="55"/>
      <c r="I39" s="16"/>
      <c r="J39" s="16"/>
      <c r="K39" s="78"/>
    </row>
    <row r="40" spans="2:11">
      <c r="B40" s="221"/>
      <c r="C40" s="89"/>
      <c r="D40" s="89"/>
      <c r="E40" s="89"/>
      <c r="F40" s="89"/>
      <c r="G40" s="62"/>
      <c r="H40" s="62"/>
      <c r="I40" s="62"/>
      <c r="J40" s="62"/>
      <c r="K40" s="78"/>
    </row>
    <row r="41" spans="2:11">
      <c r="B41" s="221"/>
      <c r="C41" s="89"/>
      <c r="D41" s="89"/>
      <c r="E41" s="89"/>
      <c r="F41" s="89"/>
      <c r="G41" s="62"/>
      <c r="H41" s="62"/>
      <c r="I41" s="62"/>
      <c r="J41" s="62"/>
      <c r="K41" s="78"/>
    </row>
    <row r="42" spans="2:11">
      <c r="B42" s="221"/>
      <c r="C42" s="65" t="s">
        <v>214</v>
      </c>
      <c r="D42" s="65"/>
      <c r="E42" s="32"/>
      <c r="F42" s="32"/>
      <c r="G42" s="16"/>
      <c r="H42" s="16"/>
      <c r="I42" s="16"/>
      <c r="J42" s="16"/>
      <c r="K42" s="78"/>
    </row>
    <row r="43" spans="2:11">
      <c r="B43" s="221">
        <v>15</v>
      </c>
      <c r="C43" s="32" t="s">
        <v>183</v>
      </c>
      <c r="D43" s="32"/>
      <c r="E43" s="32"/>
      <c r="F43" s="32"/>
      <c r="G43" s="68">
        <f>SUM(H43:J43)</f>
        <v>767166</v>
      </c>
      <c r="H43" s="95">
        <f t="shared" ref="H43:J44" si="2">H25</f>
        <v>0</v>
      </c>
      <c r="I43" s="95">
        <f t="shared" si="2"/>
        <v>967166</v>
      </c>
      <c r="J43" s="95">
        <f t="shared" si="2"/>
        <v>-200000</v>
      </c>
      <c r="K43" s="78"/>
    </row>
    <row r="44" spans="2:11">
      <c r="B44" s="221">
        <v>16</v>
      </c>
      <c r="C44" s="32" t="s">
        <v>196</v>
      </c>
      <c r="D44" s="32"/>
      <c r="E44" s="32"/>
      <c r="F44" s="32"/>
      <c r="G44" s="68">
        <f>SUM(H44:J44)</f>
        <v>0</v>
      </c>
      <c r="H44" s="95">
        <f t="shared" si="2"/>
        <v>0</v>
      </c>
      <c r="I44" s="95">
        <f t="shared" si="2"/>
        <v>0</v>
      </c>
      <c r="J44" s="95">
        <f t="shared" si="2"/>
        <v>0</v>
      </c>
      <c r="K44" s="78"/>
    </row>
    <row r="45" spans="2:11">
      <c r="B45" s="221">
        <v>17</v>
      </c>
      <c r="C45" s="66" t="s">
        <v>202</v>
      </c>
      <c r="D45" s="32"/>
      <c r="E45" s="32"/>
      <c r="F45" s="32"/>
      <c r="G45" s="69">
        <f>SUM(H45:J45)</f>
        <v>0</v>
      </c>
      <c r="H45" s="96">
        <f>IF(IF($G37&lt;0,IF(ABS($G37)&gt;$G33,-H33,($G37+G38)*H33/$G33),0)&gt;H38,H38,0)</f>
        <v>0</v>
      </c>
      <c r="I45" s="96">
        <f>IF(IF($G37&lt;0,IF(ABS($G37)&gt;$G33,-I33,($G37+H38)*I33/$G33),0)&gt;I38,I38,0)</f>
        <v>0</v>
      </c>
      <c r="J45" s="96">
        <f>IF(IF($G37&lt;0,IF(ABS($G37)&gt;$G33,-J33,($G37+I38)*J33/$G33),0)&gt;J38,J38,0)</f>
        <v>0</v>
      </c>
      <c r="K45" s="78"/>
    </row>
    <row r="46" spans="2:11">
      <c r="B46" s="221">
        <v>18</v>
      </c>
      <c r="C46" s="66" t="s">
        <v>59</v>
      </c>
      <c r="D46" s="66"/>
      <c r="E46" s="66"/>
      <c r="F46" s="66"/>
      <c r="G46" s="69">
        <f>SUM(H46:J46)</f>
        <v>1221000</v>
      </c>
      <c r="H46" s="96">
        <f>IF(AND(H45=0,H32="YES"),H33,0)</f>
        <v>377000</v>
      </c>
      <c r="I46" s="96">
        <f>IF(AND(I45=0,I32="YES"),I33,0)</f>
        <v>0</v>
      </c>
      <c r="J46" s="96">
        <f>IF(AND(J45=0,J32="YES"),J33,0)</f>
        <v>844000</v>
      </c>
      <c r="K46" s="78"/>
    </row>
    <row r="47" spans="2:11">
      <c r="B47" s="221">
        <v>19</v>
      </c>
      <c r="C47" s="32" t="s">
        <v>61</v>
      </c>
      <c r="D47" s="32"/>
      <c r="E47" s="32"/>
      <c r="F47" s="32"/>
      <c r="G47" s="68">
        <f>SUM(H47:J47)</f>
        <v>-767166</v>
      </c>
      <c r="H47" s="95">
        <f>IF($G37&lt;0,IF(H32="YES",IF(H45=0,MAX(($G37+$G$38-$G$45)*H46/$G46,-H33),0),0),0)-H38+H45</f>
        <v>-298625.37428337429</v>
      </c>
      <c r="I47" s="95">
        <f>IF($G37&lt;0,IF(I32="YES",IF(I45=0,MAX(($G37+$G$38-$G$45)*I46/$G46,-I33),0),0),0)-I38+I45</f>
        <v>0</v>
      </c>
      <c r="J47" s="95">
        <f>IF($G37&lt;0,IF(J32="YES",IF(J45=0,MAX(($G37+$G$38-$G$45)*J46/$G46,-J33),0),0),0)-J38+J45</f>
        <v>-468540.62571662571</v>
      </c>
      <c r="K47" s="78"/>
    </row>
    <row r="48" spans="2:11">
      <c r="B48" s="221"/>
      <c r="C48" s="32"/>
      <c r="D48" s="32"/>
      <c r="E48" s="32"/>
      <c r="F48" s="32"/>
      <c r="G48" s="16"/>
      <c r="H48" s="85"/>
      <c r="I48" s="85"/>
      <c r="J48" s="85"/>
      <c r="K48" s="78"/>
    </row>
    <row r="49" spans="2:11">
      <c r="B49" s="221">
        <v>20</v>
      </c>
      <c r="C49" s="32" t="s">
        <v>187</v>
      </c>
      <c r="D49" s="32"/>
      <c r="E49" s="32"/>
      <c r="F49" s="32"/>
      <c r="G49" s="68">
        <f>SUM(H49:J49)</f>
        <v>0</v>
      </c>
      <c r="H49" s="95">
        <f>SUM(H43:H44,H47)</f>
        <v>-298625.37428337429</v>
      </c>
      <c r="I49" s="95">
        <f>SUM(I43:I44,I47)</f>
        <v>967166</v>
      </c>
      <c r="J49" s="95">
        <f>SUM(J43:J44,J47)</f>
        <v>-668540.62571662571</v>
      </c>
      <c r="K49" s="78"/>
    </row>
    <row r="50" spans="2:11">
      <c r="B50" s="221"/>
      <c r="C50" s="32"/>
      <c r="D50" s="32"/>
      <c r="E50" s="32"/>
      <c r="F50" s="32"/>
      <c r="G50" s="16"/>
      <c r="H50" s="85"/>
      <c r="I50" s="85"/>
      <c r="J50" s="85"/>
      <c r="K50" s="78"/>
    </row>
    <row r="51" spans="2:11">
      <c r="B51" s="221"/>
      <c r="C51" s="32" t="s">
        <v>216</v>
      </c>
      <c r="D51" s="32"/>
      <c r="E51" s="32"/>
      <c r="F51" s="32"/>
      <c r="G51" s="68">
        <f>SUM(H51:J51)</f>
        <v>5999384000</v>
      </c>
      <c r="H51" s="95">
        <f>H12+H49</f>
        <v>1000078374.6257166</v>
      </c>
      <c r="I51" s="95">
        <f>I12+I49</f>
        <v>2999130166</v>
      </c>
      <c r="J51" s="95">
        <f>J12+J49</f>
        <v>2000175459.3742833</v>
      </c>
      <c r="K51" s="78"/>
    </row>
    <row r="52" spans="2:11" ht="13.5" thickBot="1">
      <c r="B52" s="123"/>
      <c r="C52" s="19"/>
      <c r="D52" s="19"/>
      <c r="E52" s="19"/>
      <c r="F52" s="19"/>
      <c r="G52" s="19"/>
      <c r="H52" s="19"/>
      <c r="I52" s="19"/>
      <c r="J52" s="19"/>
      <c r="K52" s="93"/>
    </row>
    <row r="53" spans="2:11">
      <c r="H53" s="233"/>
    </row>
  </sheetData>
  <sheetProtection password="DBBB" sheet="1" objects="1" scenarios="1"/>
  <phoneticPr fontId="0" type="noConversion"/>
  <conditionalFormatting sqref="H30">
    <cfRule type="expression" dxfId="15" priority="1" stopIfTrue="1">
      <formula>AND($G$29="Withdrawal",$G$30="Injection")</formula>
    </cfRule>
  </conditionalFormatting>
  <conditionalFormatting sqref="C30:G30">
    <cfRule type="expression" dxfId="14" priority="2" stopIfTrue="1">
      <formula>$G$29="Injection"</formula>
    </cfRule>
  </conditionalFormatting>
  <conditionalFormatting sqref="H29">
    <cfRule type="expression" dxfId="13" priority="3" stopIfTrue="1">
      <formula>AND($G$29="Withdrawal",$G$30="Withdrawal")</formula>
    </cfRule>
  </conditionalFormatting>
  <conditionalFormatting sqref="I30:J30">
    <cfRule type="expression" dxfId="12" priority="4" stopIfTrue="1">
      <formula>$G$29="Injection"</formula>
    </cfRule>
  </conditionalFormatting>
  <conditionalFormatting sqref="C31:F31 C32:J51">
    <cfRule type="expression" dxfId="11" priority="5" stopIfTrue="1">
      <formula>$G$29&lt;&gt;"Injection"</formula>
    </cfRule>
  </conditionalFormatting>
  <conditionalFormatting sqref="G31">
    <cfRule type="expression" dxfId="10" priority="6" stopIfTrue="1">
      <formula>$G$29="Zero Flow"</formula>
    </cfRule>
  </conditionalFormatting>
  <conditionalFormatting sqref="H31:J31">
    <cfRule type="expression" dxfId="9" priority="7" stopIfTrue="1">
      <formula>$G$29&lt;&gt;"Injection"</formula>
    </cfRule>
  </conditionalFormatting>
  <dataValidations count="1">
    <dataValidation type="whole" allowBlank="1" showErrorMessage="1" errorTitle="Negative Withdrawal Capacity" error="Withdrawal Capacity should be negative." sqref="H8:J8">
      <formula1>-1E+21</formula1>
      <formula2>0</formula2>
    </dataValidation>
  </dataValidations>
  <pageMargins left="0.5" right="0.21" top="0.5" bottom="1" header="0.5" footer="0.5"/>
  <pageSetup paperSize="8" scale="8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Disclaimer</vt:lpstr>
      <vt:lpstr>Overview</vt:lpstr>
      <vt:lpstr>TimeLine Requests</vt:lpstr>
      <vt:lpstr>PFs &amp; Maintenance &amp; LDs</vt:lpstr>
      <vt:lpstr>UIOLI &amp; Interruptible Space</vt:lpstr>
      <vt:lpstr>Normal Storage Day</vt:lpstr>
      <vt:lpstr>FSD Withdrawal</vt:lpstr>
      <vt:lpstr>FSD Injection</vt:lpstr>
      <vt:lpstr>FSD Mandatory Withdrawal</vt:lpstr>
      <vt:lpstr>Secondary Trading</vt:lpstr>
      <vt:lpstr>Invoicing</vt:lpstr>
      <vt:lpstr>Default Quantity Settlement</vt:lpstr>
      <vt:lpstr>Working Gas As Collateral</vt:lpstr>
      <vt:lpstr>data for graph</vt:lpstr>
    </vt:vector>
  </TitlesOfParts>
  <Company>TAQA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TAQA Energy</dc:creator>
  <cp:lastModifiedBy>Username</cp:lastModifiedBy>
  <cp:lastPrinted>2011-09-09T10:02:06Z</cp:lastPrinted>
  <dcterms:created xsi:type="dcterms:W3CDTF">2011-08-24T10:52:59Z</dcterms:created>
  <dcterms:modified xsi:type="dcterms:W3CDTF">2015-02-17T14:02:10Z</dcterms:modified>
</cp:coreProperties>
</file>